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DieseArbeitsmappe"/>
  <mc:AlternateContent xmlns:mc="http://schemas.openxmlformats.org/markup-compatibility/2006">
    <mc:Choice Requires="x15">
      <x15ac:absPath xmlns:x15ac="http://schemas.microsoft.com/office/spreadsheetml/2010/11/ac" url="https://gdok.finma.ch/container/1509/G01325952/Vernehmlassung 2022/Version in VnL gegeben/"/>
    </mc:Choice>
  </mc:AlternateContent>
  <xr:revisionPtr revIDLastSave="0" documentId="13_ncr:1_{C05DF060-47CE-4DC9-AAAD-AB5B2236F105}" xr6:coauthVersionLast="46" xr6:coauthVersionMax="46" xr10:uidLastSave="{00000000-0000-0000-0000-000000000000}"/>
  <bookViews>
    <workbookView xWindow="-120" yWindow="-120" windowWidth="38640" windowHeight="21390" tabRatio="861" xr2:uid="{666ACC4D-A61D-4611-83B4-8F2625D72A74}"/>
  </bookViews>
  <sheets>
    <sheet name="Delivery note" sheetId="8" r:id="rId1"/>
    <sheet name="P_CRSABIS_OPT.MELD" sheetId="78" r:id="rId2"/>
    <sheet name="P_CRSABIS_CRA.MELD" sheetId="79" r:id="rId3"/>
    <sheet name="(P_CRSABIS_CRA.MELD)" sheetId="71" state="hidden" r:id="rId4"/>
    <sheet name="P_CASABISIRB.MELD" sheetId="23" r:id="rId5"/>
    <sheet name="P_CASABISIRB_CAP.MELD" sheetId="24" r:id="rId6"/>
    <sheet name="P_CASABISIRB_RWALRD.MELD" sheetId="25" r:id="rId7"/>
    <sheet name="P_CASABISIRB_REQ.MELD" sheetId="26" r:id="rId8"/>
    <sheet name="P_CASABISIRB_RAT.MELD" sheetId="27" r:id="rId9"/>
    <sheet name="P_CRSABIS_(01-09).MELD" sheetId="39" r:id="rId10"/>
    <sheet name="P_CRSABIS_01.MELD" sheetId="1" state="hidden" r:id="rId11"/>
    <sheet name="P_CRSABIS_02.MELD" sheetId="2" state="hidden" r:id="rId12"/>
    <sheet name="P_CRSABIS_03.MELD" sheetId="3" state="hidden" r:id="rId13"/>
    <sheet name="P_CRSABIS_04.MELD" sheetId="4" state="hidden" r:id="rId14"/>
    <sheet name="P_CRSABIS_05.MELD" sheetId="5" state="hidden" r:id="rId15"/>
    <sheet name="P_CRSABIS_06.MELD" sheetId="6" state="hidden" r:id="rId16"/>
    <sheet name="P_CRSABIS_07.MELD" sheetId="7" state="hidden" r:id="rId17"/>
    <sheet name="P_CRSABIS_10.MELD" sheetId="50" r:id="rId18"/>
    <sheet name="P_CRSABIS_11.MELD" sheetId="51" r:id="rId19"/>
    <sheet name="P_CRSABIS_12.MELD" sheetId="53" r:id="rId20"/>
    <sheet name="P_CRSABIS_13.MELD" sheetId="52" r:id="rId21"/>
    <sheet name="P_CRFUNDS.MELD" sheetId="16" r:id="rId22"/>
    <sheet name="P_CRCCP.MELD" sheetId="46" r:id="rId23"/>
    <sheet name="P_CRSEC.MELD" sheetId="61" r:id="rId24"/>
    <sheet name="P_SETT.MELD" sheetId="64" r:id="rId25"/>
    <sheet name="P_CVA.MELD" sheetId="65" r:id="rId26"/>
    <sheet name="P_CVA.MELD (neu)" sheetId="66" r:id="rId27"/>
    <sheet name="P_MKR_BIS.MELD (bisher)" sheetId="33" r:id="rId28"/>
    <sheet name="P_MKR_BIS_SSA.MELD" sheetId="19" r:id="rId29"/>
    <sheet name="P_MKR_BIS_SA.MELD" sheetId="18" r:id="rId30"/>
    <sheet name="P_MKR_BIS_IMA.MELD" sheetId="76" r:id="rId31"/>
    <sheet name="P_OPR.MELD(bisher)" sheetId="70" r:id="rId32"/>
    <sheet name="P_OPR.MELD (new)" sheetId="63" r:id="rId33"/>
    <sheet name="P_LERA_BIS.MELD" sheetId="17" r:id="rId34"/>
    <sheet name="P_DISCLOSURE_KM1.MELD" sheetId="77" r:id="rId35"/>
  </sheets>
  <externalReferences>
    <externalReference r:id="rId36"/>
    <externalReference r:id="rId37"/>
  </externalReferences>
  <definedNames>
    <definedName name="App">[1]Lists!$A$27:$A$29</definedName>
    <definedName name="Frequency">[1]Lists!$A$21:$A$25</definedName>
    <definedName name="kk">'[2]List details'!$C$5:$C$8</definedName>
    <definedName name="ll">'[2]List details'!$C$5:$C$8</definedName>
    <definedName name="P_Subtitle">'Delivery note'!$B$7</definedName>
    <definedName name="P_Title">'Delivery note'!$B$8</definedName>
    <definedName name="_xlnm.Print_Area" localSheetId="3">'(P_CRSABIS_CRA.MELD)'!$A$4:$L$22</definedName>
    <definedName name="_xlnm.Print_Area" localSheetId="0">'Delivery note'!$A$1:$H$48</definedName>
    <definedName name="_xlnm.Print_Area" localSheetId="4">P_CASABISIRB.MELD!$A$9:$J$501</definedName>
    <definedName name="_xlnm.Print_Area" localSheetId="5">P_CASABISIRB_CAP.MELD!$A$9:$J$181</definedName>
    <definedName name="_xlnm.Print_Area" localSheetId="8">P_CASABISIRB_RAT.MELD!$A$9:$J$103</definedName>
    <definedName name="_xlnm.Print_Area" localSheetId="7">P_CASABISIRB_REQ.MELD!$A$9:$J$75</definedName>
    <definedName name="_xlnm.Print_Area" localSheetId="6">P_CASABISIRB_RWALRD.MELD!$A$9:$J$103</definedName>
    <definedName name="_xlnm.Print_Area" localSheetId="22">P_CRCCP.MELD!$D$1:$H$31</definedName>
    <definedName name="_xlnm.Print_Area" localSheetId="21">P_CRFUNDS.MELD!$E$10:$L$56</definedName>
    <definedName name="_xlnm.Print_Area" localSheetId="9">'P_CRSABIS_(01-09).MELD'!$D$1:$AC$57</definedName>
    <definedName name="_xlnm.Print_Area" localSheetId="10">P_CRSABIS_01.MELD!$D$1:$V$36</definedName>
    <definedName name="_xlnm.Print_Area" localSheetId="11">P_CRSABIS_02.MELD!$D$1:$V$36</definedName>
    <definedName name="_xlnm.Print_Area" localSheetId="12">P_CRSABIS_03.MELD!$D$1:$V$36</definedName>
    <definedName name="_xlnm.Print_Area" localSheetId="13">P_CRSABIS_04.MELD!$D$1:$V$36</definedName>
    <definedName name="_xlnm.Print_Area" localSheetId="14">P_CRSABIS_05.MELD!$D$1:$V$36</definedName>
    <definedName name="_xlnm.Print_Area" localSheetId="15">P_CRSABIS_06.MELD!$D$1:$V$36</definedName>
    <definedName name="_xlnm.Print_Area" localSheetId="16">P_CRSABIS_07.MELD!$D$1:$V$36</definedName>
    <definedName name="_xlnm.Print_Area" localSheetId="17">P_CRSABIS_10.MELD!$D$1:$AB$69</definedName>
    <definedName name="_xlnm.Print_Area" localSheetId="18">P_CRSABIS_11.MELD!$D$1:$AB$42</definedName>
    <definedName name="_xlnm.Print_Area" localSheetId="19">P_CRSABIS_12.MELD!$D$1:$AB$51</definedName>
    <definedName name="_xlnm.Print_Area" localSheetId="20">P_CRSABIS_13.MELD!$D$1:$AB$39</definedName>
    <definedName name="_xlnm.Print_Area" localSheetId="2">P_CRSABIS_CRA.MELD!$A$8:$F$30</definedName>
    <definedName name="_xlnm.Print_Area" localSheetId="1">P_CRSABIS_OPT.MELD!$B$13:$H$90</definedName>
    <definedName name="_xlnm.Print_Area" localSheetId="23">P_CRSEC.MELD!$A$1:$U$46</definedName>
    <definedName name="_xlnm.Print_Area" localSheetId="25">P_CVA.MELD!$A$1:$K$24</definedName>
    <definedName name="_xlnm.Print_Area" localSheetId="34">P_DISCLOSURE_KM1.MELD!$A$9:$J$58</definedName>
    <definedName name="_xlnm.Print_Area" localSheetId="33">P_LERA_BIS.MELD!$A$9:$J$68</definedName>
    <definedName name="_xlnm.Print_Area" localSheetId="27">'P_MKR_BIS.MELD (bisher)'!$A$11:$L$170</definedName>
    <definedName name="_xlnm.Print_Area" localSheetId="30">P_MKR_BIS_IMA.MELD!#REF!</definedName>
    <definedName name="_xlnm.Print_Area" localSheetId="29">P_MKR_BIS_SA.MELD!#REF!</definedName>
    <definedName name="_xlnm.Print_Area" localSheetId="28">P_MKR_BIS_SSA.MELD!$A$11:$L$106</definedName>
    <definedName name="_xlnm.Print_Area" localSheetId="32">'P_OPR.MELD (new)'!$A$1:$F$34</definedName>
    <definedName name="_xlnm.Print_Area" localSheetId="31">'P_OPR.MELD(bisher)'!$A$1:$K$32</definedName>
    <definedName name="_xlnm.Print_Area" localSheetId="24">P_SETT.MELD!$A$1:$K$24</definedName>
    <definedName name="_xlnm.Print_Titles" localSheetId="3">'(P_CRSABIS_CRA.MELD)'!$1:$3</definedName>
    <definedName name="_xlnm.Print_Titles" localSheetId="4">P_CASABISIRB.MELD!$1:$10</definedName>
    <definedName name="_xlnm.Print_Titles" localSheetId="5">P_CASABISIRB_CAP.MELD!$1:$10</definedName>
    <definedName name="_xlnm.Print_Titles" localSheetId="8">P_CASABISIRB_RAT.MELD!$1:$10</definedName>
    <definedName name="_xlnm.Print_Titles" localSheetId="7">P_CASABISIRB_REQ.MELD!$1:$10</definedName>
    <definedName name="_xlnm.Print_Titles" localSheetId="6">P_CASABISIRB_RWALRD.MELD!$1:$10</definedName>
    <definedName name="_xlnm.Print_Titles" localSheetId="22">P_CRCCP.MELD!$A:$C</definedName>
    <definedName name="_xlnm.Print_Titles" localSheetId="21">P_CRFUNDS.MELD!$A:$D,P_CRFUNDS.MELD!$1:$9</definedName>
    <definedName name="_xlnm.Print_Titles" localSheetId="9">'P_CRSABIS_(01-09).MELD'!$A:$C</definedName>
    <definedName name="_xlnm.Print_Titles" localSheetId="10">P_CRSABIS_01.MELD!$A:$C</definedName>
    <definedName name="_xlnm.Print_Titles" localSheetId="11">P_CRSABIS_02.MELD!$A:$C</definedName>
    <definedName name="_xlnm.Print_Titles" localSheetId="12">P_CRSABIS_03.MELD!$A:$C</definedName>
    <definedName name="_xlnm.Print_Titles" localSheetId="13">P_CRSABIS_04.MELD!$A:$C</definedName>
    <definedName name="_xlnm.Print_Titles" localSheetId="14">P_CRSABIS_05.MELD!$A:$C</definedName>
    <definedName name="_xlnm.Print_Titles" localSheetId="15">P_CRSABIS_06.MELD!$A:$C</definedName>
    <definedName name="_xlnm.Print_Titles" localSheetId="16">P_CRSABIS_07.MELD!$A:$C</definedName>
    <definedName name="_xlnm.Print_Titles" localSheetId="17">P_CRSABIS_10.MELD!$A:$C</definedName>
    <definedName name="_xlnm.Print_Titles" localSheetId="18">P_CRSABIS_11.MELD!$A:$C</definedName>
    <definedName name="_xlnm.Print_Titles" localSheetId="19">P_CRSABIS_12.MELD!$A:$C</definedName>
    <definedName name="_xlnm.Print_Titles" localSheetId="20">P_CRSABIS_13.MELD!$A:$C</definedName>
    <definedName name="_xlnm.Print_Titles" localSheetId="2">P_CRSABIS_CRA.MELD!$1:$3</definedName>
    <definedName name="_xlnm.Print_Titles" localSheetId="1">P_CRSABIS_OPT.MELD!$1:$13</definedName>
    <definedName name="_xlnm.Print_Titles" localSheetId="34">P_DISCLOSURE_KM1.MELD!$1:$10</definedName>
    <definedName name="_xlnm.Print_Titles" localSheetId="33">P_LERA_BIS.MELD!$1:$10</definedName>
    <definedName name="_xlnm.Print_Titles" localSheetId="27">'P_MKR_BIS.MELD (bisher)'!$1:$10</definedName>
    <definedName name="_xlnm.Print_Titles" localSheetId="30">P_MKR_BIS_IMA.MELD!$1:$3</definedName>
    <definedName name="_xlnm.Print_Titles" localSheetId="29">P_MKR_BIS_SA.MELD!$1:$5</definedName>
    <definedName name="_xlnm.Print_Titles" localSheetId="28">P_MKR_BIS_SSA.MELD!$1:$10</definedName>
    <definedName name="Valid" localSheetId="3">#REF!</definedName>
    <definedName name="Valid" localSheetId="2">#REF!</definedName>
    <definedName name="Valid" localSheetId="34">#REF!</definedName>
    <definedName name="Valid" localSheetId="30">#REF!</definedName>
    <definedName name="Valid">#REF!</definedName>
    <definedName name="Valid1" localSheetId="3">#REF!</definedName>
    <definedName name="Valid1" localSheetId="22">#REF!</definedName>
    <definedName name="Valid1" localSheetId="2">#REF!</definedName>
    <definedName name="Valid1" localSheetId="1">#REF!</definedName>
    <definedName name="Valid1">#REF!</definedName>
    <definedName name="Valid10" localSheetId="3">#REF!</definedName>
    <definedName name="Valid10" localSheetId="2">#REF!</definedName>
    <definedName name="Valid10" localSheetId="1">#REF!</definedName>
    <definedName name="Valid10">#REF!</definedName>
    <definedName name="Valid2" localSheetId="3">#REF!</definedName>
    <definedName name="Valid2" localSheetId="22">#REF!</definedName>
    <definedName name="Valid2" localSheetId="2">#REF!</definedName>
    <definedName name="Valid2" localSheetId="1">#REF!</definedName>
    <definedName name="Valid2">#REF!</definedName>
    <definedName name="Valid3" localSheetId="3">#REF!</definedName>
    <definedName name="Valid3" localSheetId="22">#REF!</definedName>
    <definedName name="Valid3" localSheetId="2">#REF!</definedName>
    <definedName name="Valid3" localSheetId="1">#REF!</definedName>
    <definedName name="Valid3">#REF!</definedName>
    <definedName name="Valid4" localSheetId="3">#REF!</definedName>
    <definedName name="Valid4" localSheetId="22">#REF!</definedName>
    <definedName name="Valid4" localSheetId="2">#REF!</definedName>
    <definedName name="Valid4" localSheetId="1">#REF!</definedName>
    <definedName name="Valid4">#REF!</definedName>
    <definedName name="Valid5" localSheetId="3">#REF!</definedName>
    <definedName name="Valid5" localSheetId="22">#REF!</definedName>
    <definedName name="Valid5" localSheetId="2">#REF!</definedName>
    <definedName name="Valid5" localSheetId="1">#REF!</definedName>
    <definedName name="Valid5">#REF!</definedName>
    <definedName name="XBRL">[1]Lists!$A$17:$A$19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0" i="64" l="1"/>
  <c r="N33" i="19"/>
  <c r="N98" i="19"/>
  <c r="K32" i="19" l="1"/>
  <c r="D94" i="78"/>
  <c r="D93" i="78"/>
  <c r="D92" i="78"/>
  <c r="D33" i="79"/>
  <c r="D32" i="79"/>
  <c r="I34" i="25" l="1"/>
  <c r="L34" i="25" s="1"/>
  <c r="I33" i="25"/>
  <c r="L33" i="25" s="1"/>
  <c r="I32" i="25"/>
  <c r="L32" i="25" s="1"/>
  <c r="I31" i="25"/>
  <c r="I116" i="23"/>
  <c r="L157" i="23"/>
  <c r="L158" i="23"/>
  <c r="L159" i="23"/>
  <c r="L160" i="23"/>
  <c r="L161" i="23"/>
  <c r="L162" i="23"/>
  <c r="L163" i="23"/>
  <c r="L164" i="23"/>
  <c r="L165" i="23"/>
  <c r="L28" i="25"/>
  <c r="D34" i="79"/>
  <c r="I30" i="25" l="1"/>
  <c r="L31" i="25"/>
  <c r="L11" i="66"/>
  <c r="K13" i="66"/>
  <c r="I33" i="77"/>
  <c r="I32" i="77"/>
  <c r="I34" i="26"/>
  <c r="I31" i="26"/>
  <c r="I21" i="26"/>
  <c r="H45" i="66"/>
  <c r="H30" i="66"/>
  <c r="H32" i="66" s="1"/>
  <c r="H21" i="66"/>
  <c r="L54" i="17"/>
  <c r="I54" i="17"/>
  <c r="L58" i="17"/>
  <c r="L57" i="17"/>
  <c r="L55" i="17"/>
  <c r="L56" i="17"/>
  <c r="L51" i="17"/>
  <c r="L32" i="17"/>
  <c r="L33" i="17"/>
  <c r="L31" i="17"/>
  <c r="L30" i="17"/>
  <c r="L23" i="17"/>
  <c r="L15" i="17"/>
  <c r="L16" i="17"/>
  <c r="I78" i="25"/>
  <c r="I77" i="25"/>
  <c r="I75" i="25"/>
  <c r="I76" i="25"/>
  <c r="K11" i="66" l="1"/>
  <c r="I24" i="63"/>
  <c r="F56" i="78" l="1"/>
  <c r="K17" i="19"/>
  <c r="D98" i="78" l="1"/>
  <c r="D97" i="78"/>
  <c r="D96" i="78"/>
  <c r="B83" i="78"/>
  <c r="E42" i="78"/>
  <c r="E21" i="46"/>
  <c r="E11" i="46"/>
  <c r="E10" i="46" s="1"/>
  <c r="H9" i="46" s="1"/>
  <c r="E20" i="46"/>
  <c r="D11" i="46"/>
  <c r="D21" i="46"/>
  <c r="N34" i="19"/>
  <c r="N62" i="19"/>
  <c r="C49" i="18"/>
  <c r="C48" i="18"/>
  <c r="F16" i="52"/>
  <c r="O16" i="52" s="1"/>
  <c r="F15" i="52"/>
  <c r="F16" i="51"/>
  <c r="F15" i="51"/>
  <c r="F17" i="50"/>
  <c r="F16" i="53"/>
  <c r="F15" i="53"/>
  <c r="F25" i="51"/>
  <c r="F26" i="51"/>
  <c r="F27" i="51"/>
  <c r="F28" i="51"/>
  <c r="O28" i="51" s="1"/>
  <c r="U28" i="51" s="1"/>
  <c r="W28" i="51" s="1"/>
  <c r="F29" i="51"/>
  <c r="O29" i="51" s="1"/>
  <c r="F24" i="51"/>
  <c r="F20" i="51"/>
  <c r="O20" i="51" s="1"/>
  <c r="F21" i="51"/>
  <c r="O21" i="51" s="1"/>
  <c r="F22" i="51"/>
  <c r="F19" i="51"/>
  <c r="F40" i="51"/>
  <c r="F38" i="51" s="1"/>
  <c r="F37" i="51"/>
  <c r="F36" i="51"/>
  <c r="F34" i="51"/>
  <c r="F33" i="51"/>
  <c r="O40" i="51"/>
  <c r="O37" i="51"/>
  <c r="O36" i="51"/>
  <c r="O35" i="51" s="1"/>
  <c r="O34" i="51"/>
  <c r="O32" i="51"/>
  <c r="U32" i="51" s="1"/>
  <c r="W32" i="51" s="1"/>
  <c r="O33" i="51"/>
  <c r="O31" i="51"/>
  <c r="O25" i="51"/>
  <c r="O26" i="51"/>
  <c r="O27" i="51"/>
  <c r="O24" i="51"/>
  <c r="O22" i="51"/>
  <c r="O18" i="51"/>
  <c r="O18" i="52"/>
  <c r="O19" i="52"/>
  <c r="O20" i="52"/>
  <c r="O21" i="52"/>
  <c r="O22" i="52"/>
  <c r="O37" i="52"/>
  <c r="U37" i="52" s="1"/>
  <c r="W37" i="52" s="1"/>
  <c r="O31" i="52"/>
  <c r="O32" i="52"/>
  <c r="O33" i="52"/>
  <c r="O34" i="52"/>
  <c r="O30" i="52"/>
  <c r="U30" i="52" s="1"/>
  <c r="W30" i="52" s="1"/>
  <c r="O25" i="52"/>
  <c r="O26" i="52"/>
  <c r="O27" i="52"/>
  <c r="O28" i="52"/>
  <c r="O24" i="52"/>
  <c r="O15" i="52"/>
  <c r="O49" i="53"/>
  <c r="U49" i="53" s="1"/>
  <c r="W49" i="53" s="1"/>
  <c r="O38" i="53"/>
  <c r="O39" i="53"/>
  <c r="O40" i="53"/>
  <c r="O41" i="53"/>
  <c r="O42" i="53"/>
  <c r="O43" i="53"/>
  <c r="O44" i="53"/>
  <c r="O45" i="53"/>
  <c r="U45" i="53" s="1"/>
  <c r="W45" i="53" s="1"/>
  <c r="AL45" i="53" s="1"/>
  <c r="O46" i="53"/>
  <c r="O37" i="53"/>
  <c r="U37" i="53" s="1"/>
  <c r="W37" i="53" s="1"/>
  <c r="AL37" i="53" s="1"/>
  <c r="O33" i="53"/>
  <c r="O34" i="53"/>
  <c r="O35" i="53"/>
  <c r="O32" i="53"/>
  <c r="O19" i="53"/>
  <c r="O20" i="53"/>
  <c r="O21" i="53"/>
  <c r="O22" i="53"/>
  <c r="O18" i="53"/>
  <c r="O25" i="53"/>
  <c r="O26" i="53"/>
  <c r="O27" i="53"/>
  <c r="O28" i="53"/>
  <c r="O29" i="53"/>
  <c r="U29" i="53" s="1"/>
  <c r="W29" i="53" s="1"/>
  <c r="O30" i="53"/>
  <c r="O24" i="53"/>
  <c r="U24" i="53" s="1"/>
  <c r="W24" i="53" s="1"/>
  <c r="F49" i="53"/>
  <c r="F38" i="53"/>
  <c r="F39" i="53"/>
  <c r="F40" i="53"/>
  <c r="F41" i="53"/>
  <c r="F42" i="53"/>
  <c r="F43" i="53"/>
  <c r="F44" i="53"/>
  <c r="F45" i="53"/>
  <c r="F46" i="53"/>
  <c r="F37" i="53"/>
  <c r="F25" i="53"/>
  <c r="F26" i="53"/>
  <c r="F27" i="53"/>
  <c r="F28" i="53"/>
  <c r="F29" i="53"/>
  <c r="F30" i="53"/>
  <c r="F24" i="53"/>
  <c r="F19" i="53"/>
  <c r="F20" i="53"/>
  <c r="F21" i="53"/>
  <c r="F22" i="53"/>
  <c r="F20" i="52"/>
  <c r="F21" i="52"/>
  <c r="F22" i="52"/>
  <c r="F25" i="52"/>
  <c r="F32" i="52"/>
  <c r="F33" i="52"/>
  <c r="F34" i="52"/>
  <c r="W27" i="52"/>
  <c r="W28" i="52"/>
  <c r="U31" i="52"/>
  <c r="W31" i="52" s="1"/>
  <c r="U32" i="52"/>
  <c r="W32" i="52" s="1"/>
  <c r="U33" i="52"/>
  <c r="W33" i="52" s="1"/>
  <c r="U34" i="52"/>
  <c r="W34" i="52" s="1"/>
  <c r="U25" i="52"/>
  <c r="W25" i="52" s="1"/>
  <c r="U26" i="52"/>
  <c r="W26" i="52" s="1"/>
  <c r="U27" i="52"/>
  <c r="U28" i="52"/>
  <c r="U24" i="52"/>
  <c r="W24" i="52" s="1"/>
  <c r="S37" i="52"/>
  <c r="S33" i="52"/>
  <c r="S34" i="52"/>
  <c r="S31" i="52"/>
  <c r="S32" i="52"/>
  <c r="S30" i="52"/>
  <c r="S25" i="52"/>
  <c r="S26" i="52"/>
  <c r="S27" i="52"/>
  <c r="S28" i="52"/>
  <c r="S24" i="52"/>
  <c r="X14" i="52"/>
  <c r="X18" i="52"/>
  <c r="Y19" i="52"/>
  <c r="I19" i="52"/>
  <c r="J19" i="52"/>
  <c r="K19" i="52"/>
  <c r="L19" i="52"/>
  <c r="M19" i="52"/>
  <c r="H19" i="52"/>
  <c r="G18" i="52"/>
  <c r="W42" i="53"/>
  <c r="AL42" i="53" s="1"/>
  <c r="W35" i="53"/>
  <c r="W27" i="53"/>
  <c r="U38" i="53"/>
  <c r="W38" i="53" s="1"/>
  <c r="AL38" i="53" s="1"/>
  <c r="U39" i="53"/>
  <c r="W39" i="53" s="1"/>
  <c r="AL39" i="53" s="1"/>
  <c r="U40" i="53"/>
  <c r="W40" i="53" s="1"/>
  <c r="AL40" i="53" s="1"/>
  <c r="U41" i="53"/>
  <c r="W41" i="53" s="1"/>
  <c r="AL41" i="53" s="1"/>
  <c r="U42" i="53"/>
  <c r="U43" i="53"/>
  <c r="W43" i="53" s="1"/>
  <c r="AL43" i="53" s="1"/>
  <c r="U44" i="53"/>
  <c r="W44" i="53" s="1"/>
  <c r="AL44" i="53" s="1"/>
  <c r="U33" i="53"/>
  <c r="W33" i="53" s="1"/>
  <c r="U34" i="53"/>
  <c r="W34" i="53" s="1"/>
  <c r="U35" i="53"/>
  <c r="U32" i="53"/>
  <c r="W32" i="53" s="1"/>
  <c r="U25" i="53"/>
  <c r="W25" i="53" s="1"/>
  <c r="U26" i="53"/>
  <c r="W26" i="53" s="1"/>
  <c r="U27" i="53"/>
  <c r="U28" i="53"/>
  <c r="W28" i="53" s="1"/>
  <c r="U30" i="53"/>
  <c r="W30" i="53" s="1"/>
  <c r="S49" i="53"/>
  <c r="S38" i="53"/>
  <c r="S39" i="53"/>
  <c r="S40" i="53"/>
  <c r="S41" i="53"/>
  <c r="S42" i="53"/>
  <c r="S43" i="53"/>
  <c r="S44" i="53"/>
  <c r="S45" i="53"/>
  <c r="S46" i="53"/>
  <c r="S37" i="53"/>
  <c r="S33" i="53"/>
  <c r="S34" i="53"/>
  <c r="S35" i="53"/>
  <c r="S32" i="53"/>
  <c r="S25" i="53"/>
  <c r="S26" i="53"/>
  <c r="S27" i="53"/>
  <c r="S28" i="53"/>
  <c r="S29" i="53"/>
  <c r="S30" i="53"/>
  <c r="S24" i="53"/>
  <c r="Y19" i="53"/>
  <c r="I19" i="53"/>
  <c r="J19" i="53"/>
  <c r="K19" i="53"/>
  <c r="L19" i="53"/>
  <c r="M19" i="53"/>
  <c r="H19" i="53"/>
  <c r="X18" i="53"/>
  <c r="G18" i="53"/>
  <c r="Y19" i="51"/>
  <c r="X18" i="51"/>
  <c r="I19" i="51"/>
  <c r="J19" i="51"/>
  <c r="L19" i="51"/>
  <c r="M19" i="51"/>
  <c r="H19" i="51"/>
  <c r="D14" i="51"/>
  <c r="D17" i="51"/>
  <c r="G18" i="51"/>
  <c r="Y20" i="50"/>
  <c r="X19" i="50"/>
  <c r="S40" i="51"/>
  <c r="S37" i="51"/>
  <c r="S36" i="51"/>
  <c r="S34" i="51"/>
  <c r="S35" i="51"/>
  <c r="S32" i="51"/>
  <c r="S33" i="51"/>
  <c r="U33" i="51" s="1"/>
  <c r="W33" i="51" s="1"/>
  <c r="S31" i="51"/>
  <c r="S25" i="51"/>
  <c r="U25" i="51" s="1"/>
  <c r="W25" i="51" s="1"/>
  <c r="S26" i="51"/>
  <c r="S27" i="51"/>
  <c r="S28" i="51"/>
  <c r="S29" i="51"/>
  <c r="S24" i="51"/>
  <c r="U37" i="51"/>
  <c r="W37" i="51" s="1"/>
  <c r="U27" i="51"/>
  <c r="W27" i="51" s="1"/>
  <c r="U24" i="51"/>
  <c r="W24" i="51" s="1"/>
  <c r="W25" i="39"/>
  <c r="W19" i="51"/>
  <c r="W20" i="51"/>
  <c r="W21" i="51"/>
  <c r="W22" i="51"/>
  <c r="W18" i="51"/>
  <c r="I20" i="50"/>
  <c r="J20" i="50"/>
  <c r="K20" i="50"/>
  <c r="L20" i="50"/>
  <c r="M20" i="50"/>
  <c r="H20" i="50"/>
  <c r="G19" i="50"/>
  <c r="AM19" i="50"/>
  <c r="Y17" i="39"/>
  <c r="X16" i="39"/>
  <c r="P15" i="39"/>
  <c r="M17" i="39"/>
  <c r="L17" i="39"/>
  <c r="J17" i="39"/>
  <c r="K17" i="39"/>
  <c r="I17" i="39"/>
  <c r="AM19" i="39"/>
  <c r="H17" i="39"/>
  <c r="G16" i="39"/>
  <c r="AL54" i="50"/>
  <c r="AL55" i="50"/>
  <c r="AL56" i="50"/>
  <c r="AL57" i="50"/>
  <c r="AL58" i="50"/>
  <c r="AL59" i="50"/>
  <c r="AL60" i="50"/>
  <c r="AL61" i="50"/>
  <c r="AL62" i="50"/>
  <c r="AL63" i="50"/>
  <c r="AL53" i="50"/>
  <c r="S28" i="50"/>
  <c r="AL51" i="50"/>
  <c r="AE41" i="50"/>
  <c r="AF41" i="50"/>
  <c r="AG41" i="50"/>
  <c r="AH41" i="50"/>
  <c r="AI41" i="50"/>
  <c r="AJ41" i="50"/>
  <c r="AK41" i="50"/>
  <c r="AE42" i="50"/>
  <c r="AF42" i="50"/>
  <c r="AG42" i="50"/>
  <c r="AH42" i="50"/>
  <c r="AI42" i="50"/>
  <c r="AJ42" i="50"/>
  <c r="AK42" i="50"/>
  <c r="AE43" i="50"/>
  <c r="AF43" i="50"/>
  <c r="AG43" i="50"/>
  <c r="AH43" i="50"/>
  <c r="AI43" i="50"/>
  <c r="AJ43" i="50"/>
  <c r="AK43" i="50"/>
  <c r="AE44" i="50"/>
  <c r="AF44" i="50"/>
  <c r="AG44" i="50"/>
  <c r="AH44" i="50"/>
  <c r="AI44" i="50"/>
  <c r="AJ44" i="50"/>
  <c r="AK44" i="50"/>
  <c r="AE45" i="50"/>
  <c r="AF45" i="50"/>
  <c r="AG45" i="50"/>
  <c r="AH45" i="50"/>
  <c r="AI45" i="50"/>
  <c r="AJ45" i="50"/>
  <c r="AK45" i="50"/>
  <c r="AE46" i="50"/>
  <c r="AF46" i="50"/>
  <c r="AG46" i="50"/>
  <c r="AH46" i="50"/>
  <c r="AI46" i="50"/>
  <c r="AJ46" i="50"/>
  <c r="AK46" i="50"/>
  <c r="AE47" i="50"/>
  <c r="AF47" i="50"/>
  <c r="AG47" i="50"/>
  <c r="AH47" i="50"/>
  <c r="AI47" i="50"/>
  <c r="AJ47" i="50"/>
  <c r="AK47" i="50"/>
  <c r="AE35" i="50"/>
  <c r="AF35" i="50"/>
  <c r="AG35" i="50"/>
  <c r="AH35" i="50"/>
  <c r="AI35" i="50"/>
  <c r="AJ35" i="50"/>
  <c r="AK35" i="50"/>
  <c r="AM15" i="50"/>
  <c r="AM16" i="50"/>
  <c r="AM17" i="50"/>
  <c r="AM20" i="50"/>
  <c r="AM21" i="50"/>
  <c r="AM22" i="50"/>
  <c r="AM23" i="50"/>
  <c r="AM24" i="50"/>
  <c r="AN24" i="50"/>
  <c r="AM25" i="50"/>
  <c r="AN25" i="50"/>
  <c r="AM26" i="50"/>
  <c r="AN26" i="50"/>
  <c r="AM27" i="50"/>
  <c r="AN27" i="50"/>
  <c r="AM28" i="50"/>
  <c r="AN28" i="50"/>
  <c r="AM29" i="50"/>
  <c r="AN29" i="50"/>
  <c r="AM30" i="50"/>
  <c r="AN30" i="50"/>
  <c r="AM31" i="50"/>
  <c r="AN31" i="50"/>
  <c r="AM32" i="50"/>
  <c r="AN32" i="50"/>
  <c r="AM33" i="50"/>
  <c r="AN33" i="50"/>
  <c r="AM34" i="50"/>
  <c r="AN34" i="50"/>
  <c r="AM35" i="50"/>
  <c r="AN35" i="50"/>
  <c r="AM36" i="50"/>
  <c r="AN36" i="50"/>
  <c r="AM37" i="50"/>
  <c r="AN37" i="50"/>
  <c r="AM38" i="50"/>
  <c r="AN38" i="50"/>
  <c r="AM39" i="50"/>
  <c r="AN39" i="50"/>
  <c r="AM40" i="50"/>
  <c r="AN40" i="50"/>
  <c r="AM41" i="50"/>
  <c r="AN41" i="50"/>
  <c r="AM42" i="50"/>
  <c r="AN42" i="50"/>
  <c r="AM43" i="50"/>
  <c r="AN43" i="50"/>
  <c r="AM44" i="50"/>
  <c r="AN44" i="50"/>
  <c r="AM45" i="50"/>
  <c r="AN45" i="50"/>
  <c r="AM46" i="50"/>
  <c r="AN46" i="50"/>
  <c r="AM47" i="50"/>
  <c r="AN47" i="50"/>
  <c r="AM48" i="50"/>
  <c r="AN48" i="50"/>
  <c r="AM49" i="50"/>
  <c r="AN49" i="50"/>
  <c r="AM50" i="50"/>
  <c r="AN50" i="50"/>
  <c r="AM51" i="50"/>
  <c r="AN51" i="50"/>
  <c r="AM52" i="50"/>
  <c r="AN52" i="50"/>
  <c r="AM53" i="50"/>
  <c r="AN53" i="50"/>
  <c r="AM54" i="50"/>
  <c r="AN54" i="50"/>
  <c r="AM55" i="50"/>
  <c r="AN55" i="50"/>
  <c r="AM56" i="50"/>
  <c r="AN56" i="50"/>
  <c r="AM57" i="50"/>
  <c r="AN57" i="50"/>
  <c r="AM58" i="50"/>
  <c r="AN58" i="50"/>
  <c r="AM59" i="50"/>
  <c r="AN59" i="50"/>
  <c r="AM60" i="50"/>
  <c r="AN60" i="50"/>
  <c r="AM61" i="50"/>
  <c r="AN61" i="50"/>
  <c r="AM62" i="50"/>
  <c r="AN62" i="50"/>
  <c r="AM63" i="50"/>
  <c r="AN63" i="50"/>
  <c r="AM64" i="50"/>
  <c r="AN64" i="50"/>
  <c r="AM65" i="50"/>
  <c r="AN65" i="50"/>
  <c r="AM66" i="50"/>
  <c r="AN66" i="50"/>
  <c r="AM67" i="50"/>
  <c r="AN67" i="50"/>
  <c r="AN14" i="50"/>
  <c r="AM14" i="50"/>
  <c r="AN21" i="39"/>
  <c r="AN22" i="39"/>
  <c r="AN23" i="39"/>
  <c r="AN24" i="39"/>
  <c r="AN25" i="39"/>
  <c r="AN26" i="39"/>
  <c r="AN27" i="39"/>
  <c r="AN28" i="39"/>
  <c r="AN29" i="39"/>
  <c r="AN30" i="39"/>
  <c r="AN31" i="39"/>
  <c r="AN32" i="39"/>
  <c r="AN33" i="39"/>
  <c r="AN34" i="39"/>
  <c r="AN35" i="39"/>
  <c r="AN37" i="39"/>
  <c r="AN38" i="39"/>
  <c r="AN39" i="39"/>
  <c r="AN40" i="39"/>
  <c r="AN41" i="39"/>
  <c r="AN44" i="39"/>
  <c r="AN45" i="39"/>
  <c r="AN48" i="39"/>
  <c r="AN49" i="39"/>
  <c r="AN50" i="39"/>
  <c r="AN51" i="39"/>
  <c r="AN52" i="39"/>
  <c r="AN53" i="39"/>
  <c r="AN54" i="39"/>
  <c r="AN55" i="39"/>
  <c r="AN14" i="39"/>
  <c r="AM16" i="39"/>
  <c r="AM18" i="39"/>
  <c r="AM20" i="39"/>
  <c r="AM21" i="39"/>
  <c r="AM22" i="39"/>
  <c r="AM23" i="39"/>
  <c r="AM24" i="39"/>
  <c r="AM25" i="39"/>
  <c r="AM26" i="39"/>
  <c r="AM27" i="39"/>
  <c r="AM28" i="39"/>
  <c r="AM29" i="39"/>
  <c r="AM30" i="39"/>
  <c r="AM31" i="39"/>
  <c r="AM32" i="39"/>
  <c r="AM33" i="39"/>
  <c r="AM34" i="39"/>
  <c r="AM35" i="39"/>
  <c r="AM37" i="39"/>
  <c r="AM38" i="39"/>
  <c r="AM39" i="39"/>
  <c r="AM40" i="39"/>
  <c r="AM41" i="39"/>
  <c r="AM44" i="39"/>
  <c r="AM45" i="39"/>
  <c r="AM48" i="39"/>
  <c r="AM49" i="39"/>
  <c r="AM50" i="39"/>
  <c r="AM51" i="39"/>
  <c r="AM52" i="39"/>
  <c r="AM53" i="39"/>
  <c r="AM54" i="39"/>
  <c r="AM55" i="39"/>
  <c r="AM14" i="39"/>
  <c r="S23" i="39"/>
  <c r="U22" i="39"/>
  <c r="S22" i="39"/>
  <c r="S53" i="39"/>
  <c r="S25" i="39"/>
  <c r="S26" i="39"/>
  <c r="S27" i="39"/>
  <c r="S28" i="39"/>
  <c r="S29" i="39"/>
  <c r="S30" i="39"/>
  <c r="S31" i="39"/>
  <c r="S32" i="39"/>
  <c r="S33" i="39"/>
  <c r="S34" i="39"/>
  <c r="S35" i="39"/>
  <c r="S37" i="39"/>
  <c r="S38" i="39"/>
  <c r="S39" i="39"/>
  <c r="S40" i="39"/>
  <c r="S41" i="39"/>
  <c r="S44" i="39"/>
  <c r="S45" i="39"/>
  <c r="S48" i="39"/>
  <c r="S49" i="39"/>
  <c r="S50" i="39"/>
  <c r="S51" i="39"/>
  <c r="S52" i="39"/>
  <c r="S54" i="39"/>
  <c r="S55" i="39"/>
  <c r="S24" i="39"/>
  <c r="L14" i="76"/>
  <c r="H25" i="76"/>
  <c r="I16" i="76"/>
  <c r="I14" i="76" s="1"/>
  <c r="J16" i="76"/>
  <c r="K14" i="76" s="1"/>
  <c r="D14" i="39"/>
  <c r="P26" i="76"/>
  <c r="O26" i="76"/>
  <c r="P22" i="76"/>
  <c r="O22" i="76"/>
  <c r="P21" i="76"/>
  <c r="O21" i="76"/>
  <c r="P20" i="76"/>
  <c r="O20" i="76"/>
  <c r="P19" i="76"/>
  <c r="O19" i="76"/>
  <c r="P18" i="76"/>
  <c r="O18" i="76"/>
  <c r="P17" i="76"/>
  <c r="O17" i="76"/>
  <c r="P15" i="76"/>
  <c r="O15" i="76"/>
  <c r="N58" i="19"/>
  <c r="N57" i="19"/>
  <c r="B56" i="18"/>
  <c r="U26" i="51" l="1"/>
  <c r="W26" i="51" s="1"/>
  <c r="U29" i="51"/>
  <c r="W29" i="51" s="1"/>
  <c r="U40" i="51"/>
  <c r="W40" i="51" s="1"/>
  <c r="U36" i="51"/>
  <c r="W36" i="51" s="1"/>
  <c r="U34" i="51"/>
  <c r="W34" i="51" s="1"/>
  <c r="U31" i="51"/>
  <c r="W31" i="51" s="1"/>
  <c r="W23" i="51" s="1"/>
  <c r="AM17" i="39"/>
  <c r="P16" i="76"/>
  <c r="J14" i="76"/>
  <c r="H13" i="76"/>
  <c r="O16" i="76"/>
  <c r="O14" i="76"/>
  <c r="P14" i="76"/>
  <c r="D62" i="18"/>
  <c r="D61" i="18"/>
  <c r="D60" i="18"/>
  <c r="D64" i="18"/>
  <c r="E17" i="52"/>
  <c r="F17" i="52"/>
  <c r="G17" i="52"/>
  <c r="H17" i="52"/>
  <c r="I17" i="52"/>
  <c r="J17" i="52"/>
  <c r="K17" i="52"/>
  <c r="L17" i="52"/>
  <c r="M17" i="52"/>
  <c r="N17" i="52"/>
  <c r="O17" i="52"/>
  <c r="W17" i="52"/>
  <c r="X17" i="52"/>
  <c r="Y17" i="52"/>
  <c r="Z17" i="52"/>
  <c r="AA17" i="52"/>
  <c r="D17" i="52"/>
  <c r="E17" i="53"/>
  <c r="G17" i="53"/>
  <c r="H17" i="53"/>
  <c r="I17" i="53"/>
  <c r="J17" i="53"/>
  <c r="K17" i="53"/>
  <c r="L17" i="53"/>
  <c r="M17" i="53"/>
  <c r="N17" i="53"/>
  <c r="O17" i="53"/>
  <c r="W17" i="53"/>
  <c r="X17" i="53"/>
  <c r="Y17" i="53"/>
  <c r="Z17" i="53"/>
  <c r="AA17" i="53"/>
  <c r="D17" i="53"/>
  <c r="AA17" i="51"/>
  <c r="Z17" i="51"/>
  <c r="Y17" i="51"/>
  <c r="X17" i="51"/>
  <c r="W17" i="51"/>
  <c r="N17" i="51"/>
  <c r="M17" i="51"/>
  <c r="L17" i="51"/>
  <c r="J17" i="51"/>
  <c r="I17" i="51"/>
  <c r="H17" i="51"/>
  <c r="G17" i="51"/>
  <c r="F17" i="51"/>
  <c r="E17" i="51"/>
  <c r="U55" i="39"/>
  <c r="U54" i="39"/>
  <c r="U49" i="39"/>
  <c r="U50" i="39"/>
  <c r="U51" i="39"/>
  <c r="U52" i="39"/>
  <c r="U48" i="39"/>
  <c r="U44" i="39"/>
  <c r="W44" i="39" s="1"/>
  <c r="U39" i="39"/>
  <c r="W39" i="39" s="1"/>
  <c r="U38" i="39"/>
  <c r="W38" i="39" s="1"/>
  <c r="U37" i="39"/>
  <c r="W37" i="39" s="1"/>
  <c r="U29" i="39"/>
  <c r="U31" i="39"/>
  <c r="U32" i="39"/>
  <c r="U25" i="39"/>
  <c r="U24" i="39"/>
  <c r="U35" i="51" l="1"/>
  <c r="AL24" i="39"/>
  <c r="AJ24" i="39"/>
  <c r="AH24" i="39"/>
  <c r="AF24" i="39"/>
  <c r="AE24" i="39"/>
  <c r="D64" i="77" l="1"/>
  <c r="D62" i="77"/>
  <c r="D61" i="77"/>
  <c r="B53" i="77"/>
  <c r="I2" i="77"/>
  <c r="D60" i="77" s="1"/>
  <c r="AG24" i="39" l="1"/>
  <c r="AR24" i="39"/>
  <c r="AI24" i="39"/>
  <c r="AO24" i="39"/>
  <c r="AT24" i="39" l="1"/>
  <c r="AK24" i="39"/>
  <c r="D43" i="76"/>
  <c r="D41" i="76"/>
  <c r="D40" i="76"/>
  <c r="D39" i="76"/>
  <c r="B35" i="76"/>
  <c r="H12" i="76"/>
  <c r="H33" i="76" s="1"/>
  <c r="H30" i="76" l="1"/>
  <c r="H32" i="76" s="1"/>
  <c r="H11" i="76" s="1"/>
  <c r="I82" i="25" l="1"/>
  <c r="K59" i="19"/>
  <c r="K30" i="19"/>
  <c r="K23" i="19"/>
  <c r="D45" i="76" l="1"/>
  <c r="D44" i="76"/>
  <c r="I65" i="19"/>
  <c r="I40" i="19"/>
  <c r="I38" i="19" s="1"/>
  <c r="I37" i="19"/>
  <c r="K20" i="19" l="1"/>
  <c r="K21" i="19" s="1"/>
  <c r="K19" i="19" s="1"/>
  <c r="AL55" i="39" l="1"/>
  <c r="AL54" i="39"/>
  <c r="AE53" i="39"/>
  <c r="AE54" i="39"/>
  <c r="AF54" i="39"/>
  <c r="AG54" i="39"/>
  <c r="AH54" i="39"/>
  <c r="AI54" i="39"/>
  <c r="AJ54" i="39"/>
  <c r="AK54" i="39"/>
  <c r="AE55" i="39"/>
  <c r="AF55" i="39"/>
  <c r="AG55" i="39"/>
  <c r="AH55" i="39"/>
  <c r="AI55" i="39"/>
  <c r="AJ55" i="39"/>
  <c r="AK55" i="39"/>
  <c r="D15" i="39"/>
  <c r="D21" i="39"/>
  <c r="E53" i="39"/>
  <c r="AF53" i="39" s="1"/>
  <c r="F53" i="39"/>
  <c r="AG53" i="39" s="1"/>
  <c r="G53" i="39"/>
  <c r="H53" i="39"/>
  <c r="I53" i="39"/>
  <c r="J53" i="39"/>
  <c r="K53" i="39"/>
  <c r="L53" i="39"/>
  <c r="M53" i="39"/>
  <c r="N53" i="39"/>
  <c r="O53" i="39"/>
  <c r="P53" i="39"/>
  <c r="AH53" i="39" s="1"/>
  <c r="Q53" i="39"/>
  <c r="R53" i="39"/>
  <c r="T53" i="39"/>
  <c r="AI53" i="39" s="1"/>
  <c r="U53" i="39"/>
  <c r="V53" i="39"/>
  <c r="AJ53" i="39" s="1"/>
  <c r="W53" i="39"/>
  <c r="X53" i="39"/>
  <c r="Y53" i="39"/>
  <c r="Z53" i="39"/>
  <c r="AA53" i="39"/>
  <c r="AL53" i="39" s="1"/>
  <c r="D53" i="39"/>
  <c r="E54" i="52"/>
  <c r="F54" i="52"/>
  <c r="G54" i="52"/>
  <c r="H54" i="52"/>
  <c r="I54" i="52"/>
  <c r="J54" i="52"/>
  <c r="K54" i="52"/>
  <c r="L54" i="52"/>
  <c r="M54" i="52"/>
  <c r="N54" i="52"/>
  <c r="O54" i="52"/>
  <c r="P54" i="52"/>
  <c r="Q54" i="52"/>
  <c r="R54" i="52"/>
  <c r="S54" i="52"/>
  <c r="T54" i="52"/>
  <c r="U54" i="52"/>
  <c r="V54" i="52"/>
  <c r="W54" i="52"/>
  <c r="X54" i="52"/>
  <c r="Y54" i="52"/>
  <c r="Z54" i="52"/>
  <c r="AA54" i="52"/>
  <c r="D54" i="52"/>
  <c r="AL49" i="53"/>
  <c r="AL48" i="53"/>
  <c r="E65" i="53"/>
  <c r="G65" i="53"/>
  <c r="H65" i="53"/>
  <c r="I65" i="53"/>
  <c r="J65" i="53"/>
  <c r="K65" i="53"/>
  <c r="L65" i="53"/>
  <c r="M65" i="53"/>
  <c r="N65" i="53"/>
  <c r="O65" i="53"/>
  <c r="P65" i="53"/>
  <c r="Q65" i="53"/>
  <c r="R65" i="53"/>
  <c r="S65" i="53"/>
  <c r="T65" i="53"/>
  <c r="U65" i="53"/>
  <c r="V65" i="53"/>
  <c r="W65" i="53"/>
  <c r="X65" i="53"/>
  <c r="Y65" i="53"/>
  <c r="Z65" i="53"/>
  <c r="AA65" i="53"/>
  <c r="E66" i="53"/>
  <c r="F66" i="53"/>
  <c r="G66" i="53"/>
  <c r="H66" i="53"/>
  <c r="I66" i="53"/>
  <c r="J66" i="53"/>
  <c r="K66" i="53"/>
  <c r="L66" i="53"/>
  <c r="M66" i="53"/>
  <c r="N66" i="53"/>
  <c r="O66" i="53"/>
  <c r="P66" i="53"/>
  <c r="Q66" i="53"/>
  <c r="R66" i="53"/>
  <c r="S66" i="53"/>
  <c r="T66" i="53"/>
  <c r="U66" i="53"/>
  <c r="V66" i="53"/>
  <c r="W66" i="53"/>
  <c r="X66" i="53"/>
  <c r="Y66" i="53"/>
  <c r="Z66" i="53"/>
  <c r="AA66" i="53"/>
  <c r="E67" i="53"/>
  <c r="G67" i="53"/>
  <c r="H67" i="53"/>
  <c r="I67" i="53"/>
  <c r="J67" i="53"/>
  <c r="K67" i="53"/>
  <c r="L67" i="53"/>
  <c r="M67" i="53"/>
  <c r="N67" i="53"/>
  <c r="O67" i="53"/>
  <c r="P67" i="53"/>
  <c r="Q67" i="53"/>
  <c r="R67" i="53"/>
  <c r="S67" i="53"/>
  <c r="T67" i="53"/>
  <c r="U67" i="53"/>
  <c r="V67" i="53"/>
  <c r="W67" i="53"/>
  <c r="X67" i="53"/>
  <c r="Y67" i="53"/>
  <c r="Z67" i="53"/>
  <c r="AA67" i="53"/>
  <c r="D67" i="53"/>
  <c r="D66" i="53"/>
  <c r="D65" i="53"/>
  <c r="E57" i="51"/>
  <c r="F57" i="51"/>
  <c r="G57" i="51"/>
  <c r="H57" i="51"/>
  <c r="I57" i="51"/>
  <c r="J57" i="51"/>
  <c r="K57" i="51"/>
  <c r="L57" i="51"/>
  <c r="M57" i="51"/>
  <c r="N57" i="51"/>
  <c r="O57" i="51"/>
  <c r="P57" i="51"/>
  <c r="Q57" i="51"/>
  <c r="R57" i="51"/>
  <c r="S57" i="51"/>
  <c r="T57" i="51"/>
  <c r="U57" i="51"/>
  <c r="V57" i="51"/>
  <c r="W57" i="51"/>
  <c r="X57" i="51"/>
  <c r="Y57" i="51"/>
  <c r="Z57" i="51"/>
  <c r="AA57" i="51"/>
  <c r="D57" i="51"/>
  <c r="E84" i="50"/>
  <c r="G84" i="50"/>
  <c r="H84" i="50"/>
  <c r="I84" i="50"/>
  <c r="J84" i="50"/>
  <c r="K84" i="50"/>
  <c r="L84" i="50"/>
  <c r="M84" i="50"/>
  <c r="N84" i="50"/>
  <c r="O84" i="50"/>
  <c r="P84" i="50"/>
  <c r="Q84" i="50"/>
  <c r="R84" i="50"/>
  <c r="T84" i="50"/>
  <c r="V84" i="50"/>
  <c r="X84" i="50"/>
  <c r="Y84" i="50"/>
  <c r="Z84" i="50"/>
  <c r="AA84" i="50"/>
  <c r="E85" i="50"/>
  <c r="G85" i="50"/>
  <c r="H85" i="50"/>
  <c r="I85" i="50"/>
  <c r="J85" i="50"/>
  <c r="K85" i="50"/>
  <c r="L85" i="50"/>
  <c r="M85" i="50"/>
  <c r="N85" i="50"/>
  <c r="O85" i="50"/>
  <c r="P85" i="50"/>
  <c r="Q85" i="50"/>
  <c r="R85" i="50"/>
  <c r="T85" i="50"/>
  <c r="V85" i="50"/>
  <c r="X85" i="50"/>
  <c r="Y85" i="50"/>
  <c r="Z85" i="50"/>
  <c r="AA85" i="50"/>
  <c r="E86" i="50"/>
  <c r="G86" i="50"/>
  <c r="H86" i="50"/>
  <c r="I86" i="50"/>
  <c r="J86" i="50"/>
  <c r="K86" i="50"/>
  <c r="L86" i="50"/>
  <c r="M86" i="50"/>
  <c r="N86" i="50"/>
  <c r="P86" i="50"/>
  <c r="Q86" i="50"/>
  <c r="R86" i="50"/>
  <c r="T86" i="50"/>
  <c r="V86" i="50"/>
  <c r="X86" i="50"/>
  <c r="Y86" i="50"/>
  <c r="Z86" i="50"/>
  <c r="AA86" i="50"/>
  <c r="E87" i="50"/>
  <c r="G87" i="50"/>
  <c r="H87" i="50"/>
  <c r="I87" i="50"/>
  <c r="J87" i="50"/>
  <c r="K87" i="50"/>
  <c r="L87" i="50"/>
  <c r="M87" i="50"/>
  <c r="N87" i="50"/>
  <c r="P87" i="50"/>
  <c r="Q87" i="50"/>
  <c r="R87" i="50"/>
  <c r="T87" i="50"/>
  <c r="V87" i="50"/>
  <c r="X87" i="50"/>
  <c r="Y87" i="50"/>
  <c r="Z87" i="50"/>
  <c r="AA87" i="50"/>
  <c r="E88" i="50"/>
  <c r="G88" i="50"/>
  <c r="H88" i="50"/>
  <c r="I88" i="50"/>
  <c r="J88" i="50"/>
  <c r="K88" i="50"/>
  <c r="L88" i="50"/>
  <c r="M88" i="50"/>
  <c r="N88" i="50"/>
  <c r="P88" i="50"/>
  <c r="Q88" i="50"/>
  <c r="R88" i="50"/>
  <c r="T88" i="50"/>
  <c r="V88" i="50"/>
  <c r="X88" i="50"/>
  <c r="Y88" i="50"/>
  <c r="Z88" i="50"/>
  <c r="AA88" i="50"/>
  <c r="E89" i="50"/>
  <c r="G89" i="50"/>
  <c r="H89" i="50"/>
  <c r="I89" i="50"/>
  <c r="J89" i="50"/>
  <c r="K89" i="50"/>
  <c r="L89" i="50"/>
  <c r="M89" i="50"/>
  <c r="N89" i="50"/>
  <c r="P89" i="50"/>
  <c r="Q89" i="50"/>
  <c r="R89" i="50"/>
  <c r="T89" i="50"/>
  <c r="V89" i="50"/>
  <c r="X89" i="50"/>
  <c r="Y89" i="50"/>
  <c r="Z89" i="50"/>
  <c r="AA89" i="50"/>
  <c r="E90" i="50"/>
  <c r="G90" i="50"/>
  <c r="H90" i="50"/>
  <c r="I90" i="50"/>
  <c r="J90" i="50"/>
  <c r="K90" i="50"/>
  <c r="L90" i="50"/>
  <c r="M90" i="50"/>
  <c r="N90" i="50"/>
  <c r="P90" i="50"/>
  <c r="Q90" i="50"/>
  <c r="R90" i="50"/>
  <c r="T90" i="50"/>
  <c r="V90" i="50"/>
  <c r="X90" i="50"/>
  <c r="Y90" i="50"/>
  <c r="Z90" i="50"/>
  <c r="AA90" i="50"/>
  <c r="E91" i="50"/>
  <c r="G91" i="50"/>
  <c r="H91" i="50"/>
  <c r="I91" i="50"/>
  <c r="J91" i="50"/>
  <c r="K91" i="50"/>
  <c r="L91" i="50"/>
  <c r="M91" i="50"/>
  <c r="N91" i="50"/>
  <c r="P91" i="50"/>
  <c r="Q91" i="50"/>
  <c r="R91" i="50"/>
  <c r="T91" i="50"/>
  <c r="V91" i="50"/>
  <c r="X91" i="50"/>
  <c r="Y91" i="50"/>
  <c r="Z91" i="50"/>
  <c r="AA91" i="50"/>
  <c r="E92" i="50"/>
  <c r="G92" i="50"/>
  <c r="H92" i="50"/>
  <c r="I92" i="50"/>
  <c r="J92" i="50"/>
  <c r="K92" i="50"/>
  <c r="L92" i="50"/>
  <c r="M92" i="50"/>
  <c r="N92" i="50"/>
  <c r="P92" i="50"/>
  <c r="Q92" i="50"/>
  <c r="R92" i="50"/>
  <c r="T92" i="50"/>
  <c r="V92" i="50"/>
  <c r="X92" i="50"/>
  <c r="Y92" i="50"/>
  <c r="Z92" i="50"/>
  <c r="AA92" i="50"/>
  <c r="E93" i="50"/>
  <c r="G93" i="50"/>
  <c r="H93" i="50"/>
  <c r="I93" i="50"/>
  <c r="J93" i="50"/>
  <c r="K93" i="50"/>
  <c r="L93" i="50"/>
  <c r="M93" i="50"/>
  <c r="N93" i="50"/>
  <c r="P93" i="50"/>
  <c r="Q93" i="50"/>
  <c r="R93" i="50"/>
  <c r="T93" i="50"/>
  <c r="V93" i="50"/>
  <c r="X93" i="50"/>
  <c r="Y93" i="50"/>
  <c r="Z93" i="50"/>
  <c r="AA93" i="50"/>
  <c r="E94" i="50"/>
  <c r="G94" i="50"/>
  <c r="H94" i="50"/>
  <c r="I94" i="50"/>
  <c r="J94" i="50"/>
  <c r="K94" i="50"/>
  <c r="L94" i="50"/>
  <c r="M94" i="50"/>
  <c r="N94" i="50"/>
  <c r="P94" i="50"/>
  <c r="Q94" i="50"/>
  <c r="R94" i="50"/>
  <c r="T94" i="50"/>
  <c r="V94" i="50"/>
  <c r="X94" i="50"/>
  <c r="Y94" i="50"/>
  <c r="Z94" i="50"/>
  <c r="AA94" i="50"/>
  <c r="E95" i="50"/>
  <c r="G95" i="50"/>
  <c r="H95" i="50"/>
  <c r="I95" i="50"/>
  <c r="J95" i="50"/>
  <c r="K95" i="50"/>
  <c r="L95" i="50"/>
  <c r="M95" i="50"/>
  <c r="N95" i="50"/>
  <c r="P95" i="50"/>
  <c r="Q95" i="50"/>
  <c r="R95" i="50"/>
  <c r="T95" i="50"/>
  <c r="V95" i="50"/>
  <c r="X95" i="50"/>
  <c r="Y95" i="50"/>
  <c r="Z95" i="50"/>
  <c r="AA95" i="50"/>
  <c r="E96" i="50"/>
  <c r="G96" i="50"/>
  <c r="H96" i="50"/>
  <c r="I96" i="50"/>
  <c r="J96" i="50"/>
  <c r="K96" i="50"/>
  <c r="L96" i="50"/>
  <c r="M96" i="50"/>
  <c r="N96" i="50"/>
  <c r="P96" i="50"/>
  <c r="Q96" i="50"/>
  <c r="R96" i="50"/>
  <c r="T96" i="50"/>
  <c r="V96" i="50"/>
  <c r="X96" i="50"/>
  <c r="Y96" i="50"/>
  <c r="Z96" i="50"/>
  <c r="AA96" i="50"/>
  <c r="E97" i="50"/>
  <c r="G97" i="50"/>
  <c r="H97" i="50"/>
  <c r="I97" i="50"/>
  <c r="J97" i="50"/>
  <c r="K97" i="50"/>
  <c r="L97" i="50"/>
  <c r="M97" i="50"/>
  <c r="N97" i="50"/>
  <c r="P97" i="50"/>
  <c r="Q97" i="50"/>
  <c r="R97" i="50"/>
  <c r="T97" i="50"/>
  <c r="V97" i="50"/>
  <c r="X97" i="50"/>
  <c r="Y97" i="50"/>
  <c r="Z97" i="50"/>
  <c r="AA97" i="50"/>
  <c r="E98" i="50"/>
  <c r="G98" i="50"/>
  <c r="H98" i="50"/>
  <c r="I98" i="50"/>
  <c r="J98" i="50"/>
  <c r="K98" i="50"/>
  <c r="L98" i="50"/>
  <c r="M98" i="50"/>
  <c r="N98" i="50"/>
  <c r="P98" i="50"/>
  <c r="Q98" i="50"/>
  <c r="R98" i="50"/>
  <c r="T98" i="50"/>
  <c r="V98" i="50"/>
  <c r="X98" i="50"/>
  <c r="Y98" i="50"/>
  <c r="Z98" i="50"/>
  <c r="AA98" i="50"/>
  <c r="E99" i="50"/>
  <c r="G99" i="50"/>
  <c r="H99" i="50"/>
  <c r="I99" i="50"/>
  <c r="J99" i="50"/>
  <c r="K99" i="50"/>
  <c r="L99" i="50"/>
  <c r="M99" i="50"/>
  <c r="N99" i="50"/>
  <c r="P99" i="50"/>
  <c r="Q99" i="50"/>
  <c r="R99" i="50"/>
  <c r="T99" i="50"/>
  <c r="V99" i="50"/>
  <c r="X99" i="50"/>
  <c r="Y99" i="50"/>
  <c r="Z99" i="50"/>
  <c r="AA99" i="50"/>
  <c r="E100" i="50"/>
  <c r="G100" i="50"/>
  <c r="H100" i="50"/>
  <c r="I100" i="50"/>
  <c r="J100" i="50"/>
  <c r="K100" i="50"/>
  <c r="L100" i="50"/>
  <c r="M100" i="50"/>
  <c r="N100" i="50"/>
  <c r="P100" i="50"/>
  <c r="Q100" i="50"/>
  <c r="R100" i="50"/>
  <c r="T100" i="50"/>
  <c r="V100" i="50"/>
  <c r="X100" i="50"/>
  <c r="Y100" i="50"/>
  <c r="Z100" i="50"/>
  <c r="AA100" i="50"/>
  <c r="E101" i="50"/>
  <c r="G101" i="50"/>
  <c r="H101" i="50"/>
  <c r="I101" i="50"/>
  <c r="J101" i="50"/>
  <c r="K101" i="50"/>
  <c r="L101" i="50"/>
  <c r="M101" i="50"/>
  <c r="N101" i="50"/>
  <c r="P101" i="50"/>
  <c r="Q101" i="50"/>
  <c r="R101" i="50"/>
  <c r="T101" i="50"/>
  <c r="V101" i="50"/>
  <c r="X101" i="50"/>
  <c r="Y101" i="50"/>
  <c r="Z101" i="50"/>
  <c r="AA101" i="50"/>
  <c r="E102" i="50"/>
  <c r="G102" i="50"/>
  <c r="H102" i="50"/>
  <c r="I102" i="50"/>
  <c r="J102" i="50"/>
  <c r="K102" i="50"/>
  <c r="L102" i="50"/>
  <c r="M102" i="50"/>
  <c r="N102" i="50"/>
  <c r="P102" i="50"/>
  <c r="Q102" i="50"/>
  <c r="R102" i="50"/>
  <c r="T102" i="50"/>
  <c r="V102" i="50"/>
  <c r="X102" i="50"/>
  <c r="Y102" i="50"/>
  <c r="Z102" i="50"/>
  <c r="AA102" i="50"/>
  <c r="E103" i="50"/>
  <c r="G103" i="50"/>
  <c r="H103" i="50"/>
  <c r="I103" i="50"/>
  <c r="J103" i="50"/>
  <c r="K103" i="50"/>
  <c r="L103" i="50"/>
  <c r="M103" i="50"/>
  <c r="N103" i="50"/>
  <c r="P103" i="50"/>
  <c r="Q103" i="50"/>
  <c r="R103" i="50"/>
  <c r="T103" i="50"/>
  <c r="V103" i="50"/>
  <c r="X103" i="50"/>
  <c r="Y103" i="50"/>
  <c r="Z103" i="50"/>
  <c r="AA103" i="50"/>
  <c r="E104" i="50"/>
  <c r="G104" i="50"/>
  <c r="H104" i="50"/>
  <c r="I104" i="50"/>
  <c r="J104" i="50"/>
  <c r="K104" i="50"/>
  <c r="L104" i="50"/>
  <c r="M104" i="50"/>
  <c r="N104" i="50"/>
  <c r="P104" i="50"/>
  <c r="Q104" i="50"/>
  <c r="R104" i="50"/>
  <c r="T104" i="50"/>
  <c r="V104" i="50"/>
  <c r="X104" i="50"/>
  <c r="Y104" i="50"/>
  <c r="Z104" i="50"/>
  <c r="AA104" i="50"/>
  <c r="E105" i="50"/>
  <c r="G105" i="50"/>
  <c r="H105" i="50"/>
  <c r="I105" i="50"/>
  <c r="J105" i="50"/>
  <c r="K105" i="50"/>
  <c r="L105" i="50"/>
  <c r="M105" i="50"/>
  <c r="N105" i="50"/>
  <c r="P105" i="50"/>
  <c r="Q105" i="50"/>
  <c r="R105" i="50"/>
  <c r="T105" i="50"/>
  <c r="V105" i="50"/>
  <c r="X105" i="50"/>
  <c r="Y105" i="50"/>
  <c r="Z105" i="50"/>
  <c r="AA105" i="50"/>
  <c r="D105" i="50"/>
  <c r="D104" i="50"/>
  <c r="D103" i="50"/>
  <c r="D102" i="50"/>
  <c r="D101" i="50"/>
  <c r="D100" i="50"/>
  <c r="D99" i="50"/>
  <c r="D98" i="50"/>
  <c r="D97" i="50"/>
  <c r="D96" i="50"/>
  <c r="D95" i="50"/>
  <c r="D94" i="50"/>
  <c r="D93" i="50"/>
  <c r="D92" i="50"/>
  <c r="D91" i="50"/>
  <c r="D90" i="50"/>
  <c r="D89" i="50"/>
  <c r="D88" i="50"/>
  <c r="D87" i="50"/>
  <c r="D86" i="50"/>
  <c r="D85" i="50"/>
  <c r="AK53" i="39" l="1"/>
  <c r="D84" i="50"/>
  <c r="AL33" i="52" l="1"/>
  <c r="AL37" i="52"/>
  <c r="AL36" i="52"/>
  <c r="AL31" i="52"/>
  <c r="AL32" i="52"/>
  <c r="AL30" i="52"/>
  <c r="AL28" i="52"/>
  <c r="AL27" i="52"/>
  <c r="AL26" i="52"/>
  <c r="AL25" i="52"/>
  <c r="AL24" i="52"/>
  <c r="AL29" i="53"/>
  <c r="AL27" i="53"/>
  <c r="AL25" i="53"/>
  <c r="AL40" i="51"/>
  <c r="AL39" i="51"/>
  <c r="AL36" i="51"/>
  <c r="AL37" i="51"/>
  <c r="AL33" i="51"/>
  <c r="AL32" i="51"/>
  <c r="AL31" i="51"/>
  <c r="AL28" i="51"/>
  <c r="AL29" i="51"/>
  <c r="AL27" i="51"/>
  <c r="AL26" i="51"/>
  <c r="AL25" i="51"/>
  <c r="AL24" i="51"/>
  <c r="AL67" i="50"/>
  <c r="L35" i="25" l="1"/>
  <c r="AK67" i="50" l="1"/>
  <c r="AJ67" i="50"/>
  <c r="AI67" i="50"/>
  <c r="AH67" i="50"/>
  <c r="AG67" i="50"/>
  <c r="AF67" i="50"/>
  <c r="AE67" i="50"/>
  <c r="AJ66" i="50"/>
  <c r="AF66" i="50"/>
  <c r="AE66" i="50"/>
  <c r="AJ65" i="50"/>
  <c r="AF65" i="50"/>
  <c r="AE65" i="50"/>
  <c r="AJ64" i="50"/>
  <c r="AF64" i="50"/>
  <c r="AE64" i="50"/>
  <c r="AJ62" i="50"/>
  <c r="AF62" i="50"/>
  <c r="AE62" i="50"/>
  <c r="AJ61" i="50"/>
  <c r="AF61" i="50"/>
  <c r="AE61" i="50"/>
  <c r="AJ60" i="50"/>
  <c r="AF60" i="50"/>
  <c r="AE60" i="50"/>
  <c r="AJ59" i="50"/>
  <c r="AF59" i="50"/>
  <c r="AE59" i="50"/>
  <c r="AJ58" i="50"/>
  <c r="AF58" i="50"/>
  <c r="AE58" i="50"/>
  <c r="AJ57" i="50"/>
  <c r="AF57" i="50"/>
  <c r="AE57" i="50"/>
  <c r="AJ56" i="50"/>
  <c r="AF56" i="50"/>
  <c r="AE56" i="50"/>
  <c r="AJ55" i="50"/>
  <c r="AF55" i="50"/>
  <c r="AE55" i="50"/>
  <c r="AJ54" i="50"/>
  <c r="AF54" i="50"/>
  <c r="AE54" i="50"/>
  <c r="AJ53" i="50"/>
  <c r="AF53" i="50"/>
  <c r="AE53" i="50"/>
  <c r="AJ51" i="50"/>
  <c r="AF51" i="50"/>
  <c r="AE51" i="50"/>
  <c r="AJ50" i="50"/>
  <c r="AF50" i="50"/>
  <c r="AE50" i="50"/>
  <c r="AJ49" i="50"/>
  <c r="AF49" i="50"/>
  <c r="AE49" i="50"/>
  <c r="AJ48" i="50"/>
  <c r="AF48" i="50"/>
  <c r="AE48" i="50"/>
  <c r="AJ40" i="50"/>
  <c r="AF40" i="50"/>
  <c r="AE40" i="50"/>
  <c r="AJ39" i="50"/>
  <c r="AF39" i="50"/>
  <c r="AE39" i="50"/>
  <c r="AJ38" i="50"/>
  <c r="AF38" i="50"/>
  <c r="AE38" i="50"/>
  <c r="AJ37" i="50"/>
  <c r="AF37" i="50"/>
  <c r="AE37" i="50"/>
  <c r="AJ36" i="50"/>
  <c r="AF36" i="50"/>
  <c r="AE36" i="50"/>
  <c r="AJ34" i="50"/>
  <c r="AF34" i="50"/>
  <c r="AE34" i="50"/>
  <c r="AJ33" i="50"/>
  <c r="AF33" i="50"/>
  <c r="AE33" i="50"/>
  <c r="AJ32" i="50"/>
  <c r="AF32" i="50"/>
  <c r="AE32" i="50"/>
  <c r="AJ31" i="50"/>
  <c r="AF31" i="50"/>
  <c r="AE31" i="50"/>
  <c r="AJ30" i="50"/>
  <c r="AF30" i="50"/>
  <c r="AE30" i="50"/>
  <c r="AJ29" i="50"/>
  <c r="AF29" i="50"/>
  <c r="AE29" i="50"/>
  <c r="AJ28" i="50"/>
  <c r="AF28" i="50"/>
  <c r="AE28" i="50"/>
  <c r="AJ27" i="50"/>
  <c r="AF27" i="50"/>
  <c r="AE27" i="50"/>
  <c r="AJ26" i="50"/>
  <c r="AF26" i="50"/>
  <c r="AE26" i="50"/>
  <c r="AJ25" i="50"/>
  <c r="AF25" i="50"/>
  <c r="AE25" i="50"/>
  <c r="AJ23" i="50"/>
  <c r="AF23" i="50"/>
  <c r="AE23" i="50"/>
  <c r="AJ22" i="50"/>
  <c r="AF22" i="50"/>
  <c r="AE22" i="50"/>
  <c r="AJ20" i="50"/>
  <c r="AF20" i="50"/>
  <c r="AE20" i="50"/>
  <c r="AJ19" i="50"/>
  <c r="AF19" i="50"/>
  <c r="AE19" i="50"/>
  <c r="AJ17" i="50"/>
  <c r="AF17" i="50"/>
  <c r="AE17" i="50"/>
  <c r="AJ16" i="50"/>
  <c r="AF16" i="50"/>
  <c r="AE16" i="50"/>
  <c r="F66" i="50"/>
  <c r="F65" i="50"/>
  <c r="F64" i="50"/>
  <c r="F63" i="50" s="1"/>
  <c r="F62" i="50"/>
  <c r="O62" i="50" s="1"/>
  <c r="F61" i="50"/>
  <c r="F60" i="50"/>
  <c r="O60" i="50" s="1"/>
  <c r="F59" i="50"/>
  <c r="F58" i="50"/>
  <c r="O58" i="50" s="1"/>
  <c r="F57" i="50"/>
  <c r="O57" i="50" s="1"/>
  <c r="F56" i="50"/>
  <c r="O56" i="50" s="1"/>
  <c r="F55" i="50"/>
  <c r="O55" i="50" s="1"/>
  <c r="F54" i="50"/>
  <c r="O54" i="50" s="1"/>
  <c r="F53" i="50"/>
  <c r="F51" i="50"/>
  <c r="O51" i="50" s="1"/>
  <c r="F50" i="50"/>
  <c r="O50" i="50" s="1"/>
  <c r="F49" i="50"/>
  <c r="O49" i="50" s="1"/>
  <c r="F48" i="50"/>
  <c r="F47" i="50"/>
  <c r="F46" i="50"/>
  <c r="O46" i="50" s="1"/>
  <c r="F45" i="50"/>
  <c r="O45" i="50" s="1"/>
  <c r="F44" i="50"/>
  <c r="F43" i="50"/>
  <c r="O43" i="50" s="1"/>
  <c r="F42" i="50"/>
  <c r="F41" i="50"/>
  <c r="F40" i="50"/>
  <c r="O40" i="50" s="1"/>
  <c r="F39" i="50"/>
  <c r="O39" i="50" s="1"/>
  <c r="F38" i="50"/>
  <c r="O38" i="50" s="1"/>
  <c r="F37" i="50"/>
  <c r="O37" i="50" s="1"/>
  <c r="F36" i="50"/>
  <c r="F35" i="50"/>
  <c r="F34" i="50"/>
  <c r="O34" i="50" s="1"/>
  <c r="F33" i="50"/>
  <c r="F32" i="50"/>
  <c r="O32" i="50" s="1"/>
  <c r="F31" i="50"/>
  <c r="F30" i="50"/>
  <c r="O30" i="50" s="1"/>
  <c r="F29" i="50"/>
  <c r="F88" i="50" s="1"/>
  <c r="F28" i="50"/>
  <c r="F27" i="50"/>
  <c r="O27" i="50" s="1"/>
  <c r="F26" i="50"/>
  <c r="O26" i="50" s="1"/>
  <c r="F25" i="50"/>
  <c r="O25" i="50" s="1"/>
  <c r="F23" i="50"/>
  <c r="F22" i="50"/>
  <c r="F21" i="50"/>
  <c r="F20" i="50"/>
  <c r="F19" i="50"/>
  <c r="AG17" i="50"/>
  <c r="F16" i="50"/>
  <c r="F15" i="50"/>
  <c r="O44" i="50"/>
  <c r="O36" i="50"/>
  <c r="O35" i="50"/>
  <c r="O28" i="50"/>
  <c r="S15" i="50"/>
  <c r="U15" i="50" s="1"/>
  <c r="S65" i="50"/>
  <c r="S66" i="50"/>
  <c r="S64" i="50"/>
  <c r="AH64" i="50" s="1"/>
  <c r="S54" i="50"/>
  <c r="AH54" i="50" s="1"/>
  <c r="S55" i="50"/>
  <c r="AH55" i="50" s="1"/>
  <c r="S56" i="50"/>
  <c r="AH56" i="50" s="1"/>
  <c r="S57" i="50"/>
  <c r="AH57" i="50" s="1"/>
  <c r="S58" i="50"/>
  <c r="AH58" i="50" s="1"/>
  <c r="S59" i="50"/>
  <c r="AH59" i="50" s="1"/>
  <c r="S60" i="50"/>
  <c r="AH60" i="50" s="1"/>
  <c r="S61" i="50"/>
  <c r="AH61" i="50" s="1"/>
  <c r="S62" i="50"/>
  <c r="AH62" i="50" s="1"/>
  <c r="S53" i="50"/>
  <c r="AH53" i="50" s="1"/>
  <c r="S26" i="50"/>
  <c r="S27" i="50"/>
  <c r="AH28" i="50"/>
  <c r="S29" i="50"/>
  <c r="S30" i="50"/>
  <c r="S31" i="50"/>
  <c r="AH31" i="50" s="1"/>
  <c r="S32" i="50"/>
  <c r="S33" i="50"/>
  <c r="S34" i="50"/>
  <c r="AH34" i="50" s="1"/>
  <c r="S35" i="50"/>
  <c r="S36" i="50"/>
  <c r="S37" i="50"/>
  <c r="AH37" i="50" s="1"/>
  <c r="S38" i="50"/>
  <c r="S39" i="50"/>
  <c r="AH39" i="50" s="1"/>
  <c r="S40" i="50"/>
  <c r="AH40" i="50" s="1"/>
  <c r="S41" i="50"/>
  <c r="S42" i="50"/>
  <c r="S43" i="50"/>
  <c r="S44" i="50"/>
  <c r="S45" i="50"/>
  <c r="S46" i="50"/>
  <c r="S47" i="50"/>
  <c r="S48" i="50"/>
  <c r="S49" i="50"/>
  <c r="AH49" i="50" s="1"/>
  <c r="S50" i="50"/>
  <c r="S51" i="50"/>
  <c r="S25" i="50"/>
  <c r="AH25" i="50" s="1"/>
  <c r="AH23" i="50"/>
  <c r="AH22" i="50"/>
  <c r="P24" i="50"/>
  <c r="Q24" i="50"/>
  <c r="R24" i="50"/>
  <c r="T24" i="50"/>
  <c r="V24" i="50"/>
  <c r="AJ24" i="50" s="1"/>
  <c r="X24" i="50"/>
  <c r="Y24" i="50"/>
  <c r="Z24" i="50"/>
  <c r="AA24" i="50"/>
  <c r="D24" i="50"/>
  <c r="AE24" i="50" s="1"/>
  <c r="E24" i="50"/>
  <c r="AF24" i="50" s="1"/>
  <c r="G24" i="50"/>
  <c r="H24" i="50"/>
  <c r="I24" i="50"/>
  <c r="J24" i="50"/>
  <c r="K24" i="50"/>
  <c r="L24" i="50"/>
  <c r="M24" i="50"/>
  <c r="N24" i="50"/>
  <c r="O61" i="50"/>
  <c r="O53" i="50"/>
  <c r="O63" i="50"/>
  <c r="O29" i="50"/>
  <c r="AJ18" i="50"/>
  <c r="X18" i="50"/>
  <c r="Y18" i="50"/>
  <c r="Z18" i="50"/>
  <c r="AA18" i="50"/>
  <c r="D18" i="50"/>
  <c r="AE18" i="50" s="1"/>
  <c r="E18" i="50"/>
  <c r="AF18" i="50" s="1"/>
  <c r="G18" i="50"/>
  <c r="H18" i="50"/>
  <c r="I18" i="50"/>
  <c r="J18" i="50"/>
  <c r="K18" i="50"/>
  <c r="L18" i="50"/>
  <c r="M18" i="50"/>
  <c r="N18" i="50"/>
  <c r="O23" i="50"/>
  <c r="O22" i="50"/>
  <c r="O21" i="50"/>
  <c r="O20" i="50"/>
  <c r="O19" i="50"/>
  <c r="AM18" i="50" l="1"/>
  <c r="W21" i="50"/>
  <c r="AN21" i="50" s="1"/>
  <c r="W20" i="50"/>
  <c r="U58" i="50"/>
  <c r="W58" i="50" s="1"/>
  <c r="AK58" i="50" s="1"/>
  <c r="U34" i="50"/>
  <c r="W34" i="50" s="1"/>
  <c r="AL34" i="50" s="1"/>
  <c r="S97" i="50"/>
  <c r="U60" i="50"/>
  <c r="W60" i="50" s="1"/>
  <c r="AK60" i="50" s="1"/>
  <c r="U46" i="50"/>
  <c r="W46" i="50" s="1"/>
  <c r="AL46" i="50" s="1"/>
  <c r="AG22" i="50"/>
  <c r="U56" i="50"/>
  <c r="W56" i="50" s="1"/>
  <c r="AK56" i="50" s="1"/>
  <c r="AG23" i="50"/>
  <c r="U40" i="50"/>
  <c r="W40" i="50" s="1"/>
  <c r="AL40" i="50" s="1"/>
  <c r="U57" i="50"/>
  <c r="W57" i="50" s="1"/>
  <c r="AK57" i="50" s="1"/>
  <c r="S84" i="50"/>
  <c r="U25" i="50"/>
  <c r="W25" i="50" s="1"/>
  <c r="AL25" i="50" s="1"/>
  <c r="S86" i="50"/>
  <c r="U37" i="50"/>
  <c r="W37" i="50" s="1"/>
  <c r="AL37" i="50" s="1"/>
  <c r="S94" i="50"/>
  <c r="S89" i="50"/>
  <c r="F104" i="50"/>
  <c r="F101" i="50"/>
  <c r="F105" i="50"/>
  <c r="F100" i="50"/>
  <c r="AI22" i="50"/>
  <c r="AH18" i="50"/>
  <c r="S96" i="50"/>
  <c r="S91" i="50"/>
  <c r="W23" i="50"/>
  <c r="U64" i="50"/>
  <c r="U63" i="50" s="1"/>
  <c r="F99" i="50"/>
  <c r="AG49" i="50"/>
  <c r="O47" i="50"/>
  <c r="U47" i="50" s="1"/>
  <c r="O65" i="50"/>
  <c r="U65" i="50" s="1"/>
  <c r="S105" i="50"/>
  <c r="U28" i="50"/>
  <c r="W28" i="50" s="1"/>
  <c r="AL28" i="50" s="1"/>
  <c r="O48" i="50"/>
  <c r="O101" i="50" s="1"/>
  <c r="AG27" i="50"/>
  <c r="F92" i="50"/>
  <c r="AG51" i="50"/>
  <c r="AG60" i="50"/>
  <c r="AG40" i="50"/>
  <c r="U49" i="50"/>
  <c r="AI49" i="50" s="1"/>
  <c r="F96" i="50"/>
  <c r="F84" i="50"/>
  <c r="AG50" i="50"/>
  <c r="O42" i="50"/>
  <c r="U53" i="50"/>
  <c r="W53" i="50" s="1"/>
  <c r="AK53" i="50" s="1"/>
  <c r="O66" i="50"/>
  <c r="AG66" i="50" s="1"/>
  <c r="S88" i="50"/>
  <c r="S104" i="50"/>
  <c r="F18" i="50"/>
  <c r="AG28" i="50"/>
  <c r="F93" i="50"/>
  <c r="AG53" i="50"/>
  <c r="AG61" i="50"/>
  <c r="F24" i="50"/>
  <c r="AG34" i="50"/>
  <c r="O41" i="50"/>
  <c r="U41" i="50" s="1"/>
  <c r="U62" i="50"/>
  <c r="W62" i="50" s="1"/>
  <c r="AK62" i="50" s="1"/>
  <c r="AG20" i="50"/>
  <c r="AG37" i="50"/>
  <c r="AG62" i="50"/>
  <c r="AG56" i="50"/>
  <c r="AG57" i="50"/>
  <c r="AG58" i="50"/>
  <c r="AG26" i="50"/>
  <c r="U61" i="50"/>
  <c r="W61" i="50" s="1"/>
  <c r="AK61" i="50" s="1"/>
  <c r="S92" i="50"/>
  <c r="S87" i="50"/>
  <c r="S85" i="50"/>
  <c r="O59" i="50"/>
  <c r="U59" i="50" s="1"/>
  <c r="AG30" i="50"/>
  <c r="AG55" i="50"/>
  <c r="S99" i="50"/>
  <c r="U36" i="50"/>
  <c r="O93" i="50"/>
  <c r="U54" i="50"/>
  <c r="AK34" i="50"/>
  <c r="AG54" i="50"/>
  <c r="AI56" i="50"/>
  <c r="AI64" i="50"/>
  <c r="S98" i="50"/>
  <c r="S93" i="50"/>
  <c r="U39" i="50"/>
  <c r="O95" i="50"/>
  <c r="U43" i="50"/>
  <c r="F89" i="50"/>
  <c r="F94" i="50"/>
  <c r="AK25" i="50"/>
  <c r="AG29" i="50"/>
  <c r="AH30" i="50"/>
  <c r="S103" i="50"/>
  <c r="W64" i="50"/>
  <c r="U38" i="50"/>
  <c r="O94" i="50"/>
  <c r="F95" i="50"/>
  <c r="AG19" i="50"/>
  <c r="AH20" i="50"/>
  <c r="AH29" i="50"/>
  <c r="AG39" i="50"/>
  <c r="U50" i="50"/>
  <c r="O102" i="50"/>
  <c r="U30" i="50"/>
  <c r="O89" i="50"/>
  <c r="S102" i="50"/>
  <c r="U27" i="50"/>
  <c r="O87" i="50"/>
  <c r="U44" i="50"/>
  <c r="O98" i="50"/>
  <c r="F90" i="50"/>
  <c r="AH19" i="50"/>
  <c r="AI20" i="50"/>
  <c r="AG38" i="50"/>
  <c r="AI40" i="50"/>
  <c r="W15" i="50"/>
  <c r="AN15" i="50" s="1"/>
  <c r="O33" i="50"/>
  <c r="AG33" i="50" s="1"/>
  <c r="F91" i="50"/>
  <c r="AH27" i="50"/>
  <c r="AH38" i="50"/>
  <c r="AH51" i="50"/>
  <c r="AI60" i="50"/>
  <c r="U29" i="50"/>
  <c r="O88" i="50"/>
  <c r="U26" i="50"/>
  <c r="O86" i="50"/>
  <c r="S101" i="50"/>
  <c r="S90" i="50"/>
  <c r="O31" i="50"/>
  <c r="U31" i="50" s="1"/>
  <c r="U48" i="50"/>
  <c r="F85" i="50"/>
  <c r="F86" i="50"/>
  <c r="F97" i="50"/>
  <c r="F102" i="50"/>
  <c r="AG16" i="50"/>
  <c r="AH17" i="50"/>
  <c r="AG25" i="50"/>
  <c r="AH26" i="50"/>
  <c r="AG36" i="50"/>
  <c r="AK40" i="50"/>
  <c r="AH50" i="50"/>
  <c r="AH66" i="50"/>
  <c r="U45" i="50"/>
  <c r="O99" i="50"/>
  <c r="S100" i="50"/>
  <c r="S95" i="50"/>
  <c r="U32" i="50"/>
  <c r="O90" i="50"/>
  <c r="U51" i="50"/>
  <c r="O103" i="50"/>
  <c r="F87" i="50"/>
  <c r="F103" i="50"/>
  <c r="AH16" i="50"/>
  <c r="AG32" i="50"/>
  <c r="AH33" i="50"/>
  <c r="AI34" i="50"/>
  <c r="AH36" i="50"/>
  <c r="AI58" i="50"/>
  <c r="AG64" i="50"/>
  <c r="AH65" i="50"/>
  <c r="O97" i="50"/>
  <c r="U35" i="50"/>
  <c r="O92" i="50"/>
  <c r="U55" i="50"/>
  <c r="F98" i="50"/>
  <c r="F52" i="50"/>
  <c r="AH32" i="50"/>
  <c r="AH48" i="50"/>
  <c r="AI57" i="50"/>
  <c r="O18" i="50"/>
  <c r="S24" i="50"/>
  <c r="AH24" i="50" s="1"/>
  <c r="H15" i="39"/>
  <c r="I15" i="39"/>
  <c r="J15" i="39"/>
  <c r="K15" i="39"/>
  <c r="L15" i="39"/>
  <c r="M15" i="39"/>
  <c r="N15" i="39"/>
  <c r="Q15" i="39"/>
  <c r="R15" i="39"/>
  <c r="T15" i="39"/>
  <c r="X15" i="39"/>
  <c r="Y15" i="39"/>
  <c r="Z15" i="39"/>
  <c r="AA15" i="39"/>
  <c r="E15" i="39"/>
  <c r="AK23" i="50" l="1"/>
  <c r="AN23" i="50"/>
  <c r="AI23" i="50"/>
  <c r="AK20" i="50"/>
  <c r="AN20" i="50"/>
  <c r="AI53" i="50"/>
  <c r="O96" i="50"/>
  <c r="W22" i="50"/>
  <c r="O100" i="50"/>
  <c r="AG65" i="50"/>
  <c r="AI25" i="50"/>
  <c r="U42" i="50"/>
  <c r="O104" i="50"/>
  <c r="O52" i="50"/>
  <c r="O105" i="50"/>
  <c r="U66" i="50"/>
  <c r="W66" i="50" s="1"/>
  <c r="AK37" i="50"/>
  <c r="AI37" i="50"/>
  <c r="AG59" i="50"/>
  <c r="F14" i="50"/>
  <c r="AK28" i="50"/>
  <c r="AG48" i="50"/>
  <c r="AI61" i="50"/>
  <c r="W49" i="50"/>
  <c r="AK49" i="50" s="1"/>
  <c r="AI28" i="50"/>
  <c r="AI62" i="50"/>
  <c r="U24" i="50"/>
  <c r="AI24" i="50" s="1"/>
  <c r="AG18" i="50"/>
  <c r="F83" i="50"/>
  <c r="F82" i="50"/>
  <c r="W42" i="50"/>
  <c r="U97" i="50"/>
  <c r="W65" i="50"/>
  <c r="U104" i="50"/>
  <c r="AI65" i="50"/>
  <c r="W30" i="50"/>
  <c r="U89" i="50"/>
  <c r="AI30" i="50"/>
  <c r="W59" i="50"/>
  <c r="AK59" i="50" s="1"/>
  <c r="AI59" i="50"/>
  <c r="W51" i="50"/>
  <c r="U103" i="50"/>
  <c r="AI51" i="50"/>
  <c r="W26" i="50"/>
  <c r="U86" i="50"/>
  <c r="AI26" i="50"/>
  <c r="W41" i="50"/>
  <c r="U96" i="50"/>
  <c r="W55" i="50"/>
  <c r="AK55" i="50" s="1"/>
  <c r="AI55" i="50"/>
  <c r="W45" i="50"/>
  <c r="U99" i="50"/>
  <c r="W50" i="50"/>
  <c r="U102" i="50"/>
  <c r="AI50" i="50"/>
  <c r="W38" i="50"/>
  <c r="U94" i="50"/>
  <c r="AI38" i="50"/>
  <c r="W43" i="50"/>
  <c r="W36" i="50"/>
  <c r="U93" i="50"/>
  <c r="AI36" i="50"/>
  <c r="AI19" i="50"/>
  <c r="W32" i="50"/>
  <c r="U90" i="50"/>
  <c r="AI32" i="50"/>
  <c r="W48" i="50"/>
  <c r="U101" i="50"/>
  <c r="AI48" i="50"/>
  <c r="W29" i="50"/>
  <c r="U88" i="50"/>
  <c r="AI29" i="50"/>
  <c r="U33" i="50"/>
  <c r="O91" i="50"/>
  <c r="W44" i="50"/>
  <c r="U98" i="50"/>
  <c r="AL64" i="50"/>
  <c r="AK64" i="50"/>
  <c r="W35" i="50"/>
  <c r="U92" i="50"/>
  <c r="U84" i="50"/>
  <c r="AI16" i="50"/>
  <c r="W16" i="50"/>
  <c r="AN16" i="50" s="1"/>
  <c r="W31" i="50"/>
  <c r="AI31" i="50"/>
  <c r="W39" i="50"/>
  <c r="U95" i="50"/>
  <c r="AI39" i="50"/>
  <c r="AL49" i="50"/>
  <c r="U85" i="50"/>
  <c r="AI17" i="50"/>
  <c r="W17" i="50"/>
  <c r="AN17" i="50" s="1"/>
  <c r="W27" i="50"/>
  <c r="U87" i="50"/>
  <c r="AI27" i="50"/>
  <c r="W47" i="50"/>
  <c r="U100" i="50"/>
  <c r="AG31" i="50"/>
  <c r="W54" i="50"/>
  <c r="AK54" i="50" s="1"/>
  <c r="AI54" i="50"/>
  <c r="W19" i="50"/>
  <c r="AN19" i="50" s="1"/>
  <c r="AI18" i="50"/>
  <c r="U27" i="39"/>
  <c r="U30" i="39"/>
  <c r="U33" i="39"/>
  <c r="U34" i="39"/>
  <c r="U35" i="39"/>
  <c r="AK22" i="50" l="1"/>
  <c r="AN22" i="50"/>
  <c r="S21" i="39"/>
  <c r="AI66" i="50"/>
  <c r="U105" i="50"/>
  <c r="W84" i="50"/>
  <c r="AK16" i="50"/>
  <c r="W96" i="50"/>
  <c r="AL41" i="50"/>
  <c r="W105" i="50"/>
  <c r="AL66" i="50"/>
  <c r="AK66" i="50"/>
  <c r="W98" i="50"/>
  <c r="AL44" i="50"/>
  <c r="W101" i="50"/>
  <c r="AL48" i="50"/>
  <c r="AK48" i="50"/>
  <c r="W93" i="50"/>
  <c r="AL36" i="50"/>
  <c r="AK36" i="50"/>
  <c r="W102" i="50"/>
  <c r="AL50" i="50"/>
  <c r="AK50" i="50"/>
  <c r="W97" i="50"/>
  <c r="AL42" i="50"/>
  <c r="W18" i="50"/>
  <c r="AK19" i="50"/>
  <c r="W92" i="50"/>
  <c r="AL35" i="50"/>
  <c r="W33" i="50"/>
  <c r="U91" i="50"/>
  <c r="AI33" i="50"/>
  <c r="AL43" i="50"/>
  <c r="W86" i="50"/>
  <c r="AL26" i="50"/>
  <c r="AK26" i="50"/>
  <c r="W89" i="50"/>
  <c r="AL30" i="50"/>
  <c r="AK30" i="50"/>
  <c r="W87" i="50"/>
  <c r="AL27" i="50"/>
  <c r="AK27" i="50"/>
  <c r="W95" i="50"/>
  <c r="AL39" i="50"/>
  <c r="AK39" i="50"/>
  <c r="W90" i="50"/>
  <c r="AL32" i="50"/>
  <c r="AK32" i="50"/>
  <c r="W99" i="50"/>
  <c r="AL45" i="50"/>
  <c r="W85" i="50"/>
  <c r="AK17" i="50"/>
  <c r="W100" i="50"/>
  <c r="AL47" i="50"/>
  <c r="AL31" i="50"/>
  <c r="AK31" i="50"/>
  <c r="W24" i="50"/>
  <c r="AK24" i="50" s="1"/>
  <c r="W88" i="50"/>
  <c r="AL29" i="50"/>
  <c r="AK29" i="50"/>
  <c r="W94" i="50"/>
  <c r="AL38" i="50"/>
  <c r="AK38" i="50"/>
  <c r="W103" i="50"/>
  <c r="AK51" i="50"/>
  <c r="W104" i="50"/>
  <c r="AL65" i="50"/>
  <c r="AK65" i="50"/>
  <c r="S15" i="39"/>
  <c r="O19" i="39"/>
  <c r="O20" i="39"/>
  <c r="O18" i="39"/>
  <c r="AK18" i="50" l="1"/>
  <c r="AN18" i="50"/>
  <c r="W91" i="50"/>
  <c r="AL33" i="50"/>
  <c r="AK33" i="50"/>
  <c r="W18" i="39"/>
  <c r="AN18" i="39" s="1"/>
  <c r="W20" i="39"/>
  <c r="AN20" i="39" s="1"/>
  <c r="W19" i="39"/>
  <c r="AN19" i="39" s="1"/>
  <c r="F37" i="39"/>
  <c r="O37" i="39" s="1"/>
  <c r="F38" i="39"/>
  <c r="O38" i="39" s="1"/>
  <c r="F39" i="39"/>
  <c r="O39" i="39" s="1"/>
  <c r="F40" i="39"/>
  <c r="O40" i="39" s="1"/>
  <c r="U40" i="39" s="1"/>
  <c r="W40" i="39" s="1"/>
  <c r="F41" i="39"/>
  <c r="O41" i="39" s="1"/>
  <c r="U41" i="39" s="1"/>
  <c r="W41" i="39" s="1"/>
  <c r="F43" i="39"/>
  <c r="O43" i="39" s="1"/>
  <c r="U43" i="39" s="1"/>
  <c r="W43" i="39" s="1"/>
  <c r="F44" i="39"/>
  <c r="O44" i="39" s="1"/>
  <c r="F45" i="39"/>
  <c r="O45" i="39" s="1"/>
  <c r="U45" i="39" s="1"/>
  <c r="W45" i="39" s="1"/>
  <c r="F46" i="39"/>
  <c r="O46" i="39" s="1"/>
  <c r="U46" i="39" s="1"/>
  <c r="W46" i="39" s="1"/>
  <c r="F48" i="39"/>
  <c r="O48" i="39" s="1"/>
  <c r="W48" i="39" s="1"/>
  <c r="AL48" i="39" s="1"/>
  <c r="F49" i="39"/>
  <c r="O49" i="39" s="1"/>
  <c r="W49" i="39" s="1"/>
  <c r="F50" i="39"/>
  <c r="O50" i="39" s="1"/>
  <c r="W50" i="39" s="1"/>
  <c r="AL50" i="39" s="1"/>
  <c r="F51" i="39"/>
  <c r="O51" i="39" s="1"/>
  <c r="W51" i="39" s="1"/>
  <c r="F52" i="39"/>
  <c r="O52" i="39" s="1"/>
  <c r="W52" i="39" s="1"/>
  <c r="F25" i="39"/>
  <c r="O25" i="39" s="1"/>
  <c r="F26" i="39"/>
  <c r="O26" i="39" s="1"/>
  <c r="U26" i="39" s="1"/>
  <c r="W26" i="39" s="1"/>
  <c r="F27" i="39"/>
  <c r="O27" i="39" s="1"/>
  <c r="W27" i="39" s="1"/>
  <c r="F28" i="39"/>
  <c r="O28" i="39" s="1"/>
  <c r="F29" i="39"/>
  <c r="O29" i="39" s="1"/>
  <c r="W29" i="39" s="1"/>
  <c r="F30" i="39"/>
  <c r="O30" i="39" s="1"/>
  <c r="W30" i="39" s="1"/>
  <c r="F31" i="39"/>
  <c r="O31" i="39" s="1"/>
  <c r="W31" i="39" s="1"/>
  <c r="F32" i="39"/>
  <c r="O32" i="39" s="1"/>
  <c r="W32" i="39" s="1"/>
  <c r="F33" i="39"/>
  <c r="O33" i="39" s="1"/>
  <c r="W33" i="39" s="1"/>
  <c r="F34" i="39"/>
  <c r="O34" i="39" s="1"/>
  <c r="W34" i="39" s="1"/>
  <c r="F35" i="39"/>
  <c r="O35" i="39" s="1"/>
  <c r="W35" i="39" s="1"/>
  <c r="F18" i="39"/>
  <c r="F19" i="39"/>
  <c r="F20" i="39"/>
  <c r="E75" i="39" l="1"/>
  <c r="F75" i="39"/>
  <c r="G75" i="39"/>
  <c r="H75" i="39"/>
  <c r="I75" i="39"/>
  <c r="J75" i="39"/>
  <c r="K75" i="39"/>
  <c r="L75" i="39"/>
  <c r="M75" i="39"/>
  <c r="N75" i="39"/>
  <c r="P75" i="39"/>
  <c r="Q75" i="39"/>
  <c r="R75" i="39"/>
  <c r="S75" i="39"/>
  <c r="T75" i="39"/>
  <c r="U75" i="39"/>
  <c r="V75" i="39"/>
  <c r="W75" i="39"/>
  <c r="X75" i="39"/>
  <c r="Y75" i="39"/>
  <c r="Z75" i="39"/>
  <c r="AA75" i="39"/>
  <c r="D75" i="39"/>
  <c r="E77" i="39" l="1"/>
  <c r="G77" i="39"/>
  <c r="H77" i="39"/>
  <c r="I77" i="39"/>
  <c r="J77" i="39"/>
  <c r="K77" i="39"/>
  <c r="L77" i="39"/>
  <c r="M77" i="39"/>
  <c r="N77" i="39"/>
  <c r="P77" i="39"/>
  <c r="Q77" i="39"/>
  <c r="R77" i="39"/>
  <c r="S77" i="39"/>
  <c r="T77" i="39"/>
  <c r="U77" i="39"/>
  <c r="V77" i="39"/>
  <c r="W77" i="39"/>
  <c r="X77" i="39"/>
  <c r="Y77" i="39"/>
  <c r="Z77" i="39"/>
  <c r="AA77" i="39"/>
  <c r="E78" i="39"/>
  <c r="G78" i="39"/>
  <c r="H78" i="39"/>
  <c r="I78" i="39"/>
  <c r="J78" i="39"/>
  <c r="K78" i="39"/>
  <c r="L78" i="39"/>
  <c r="M78" i="39"/>
  <c r="N78" i="39"/>
  <c r="P78" i="39"/>
  <c r="Q78" i="39"/>
  <c r="R78" i="39"/>
  <c r="S78" i="39"/>
  <c r="T78" i="39"/>
  <c r="U78" i="39"/>
  <c r="V78" i="39"/>
  <c r="W78" i="39"/>
  <c r="X78" i="39"/>
  <c r="Y78" i="39"/>
  <c r="Z78" i="39"/>
  <c r="AA78" i="39"/>
  <c r="D78" i="39"/>
  <c r="D77" i="39"/>
  <c r="D76" i="39"/>
  <c r="E74" i="39"/>
  <c r="G74" i="39"/>
  <c r="H74" i="39"/>
  <c r="I74" i="39"/>
  <c r="J74" i="39"/>
  <c r="K74" i="39"/>
  <c r="L74" i="39"/>
  <c r="M74" i="39"/>
  <c r="N74" i="39"/>
  <c r="P74" i="39"/>
  <c r="Q74" i="39"/>
  <c r="R74" i="39"/>
  <c r="S74" i="39"/>
  <c r="T74" i="39"/>
  <c r="U74" i="39"/>
  <c r="V74" i="39"/>
  <c r="W74" i="39"/>
  <c r="X74" i="39"/>
  <c r="Y74" i="39"/>
  <c r="Z74" i="39"/>
  <c r="AA74" i="39"/>
  <c r="D74" i="39"/>
  <c r="E72" i="39"/>
  <c r="G72" i="39"/>
  <c r="H72" i="39"/>
  <c r="I72" i="39"/>
  <c r="J72" i="39"/>
  <c r="K72" i="39"/>
  <c r="L72" i="39"/>
  <c r="M72" i="39"/>
  <c r="N72" i="39"/>
  <c r="P72" i="39"/>
  <c r="Q72" i="39"/>
  <c r="R72" i="39"/>
  <c r="S72" i="39"/>
  <c r="T72" i="39"/>
  <c r="U72" i="39"/>
  <c r="V72" i="39"/>
  <c r="W72" i="39"/>
  <c r="X72" i="39"/>
  <c r="Y72" i="39"/>
  <c r="Z72" i="39"/>
  <c r="AA72" i="39"/>
  <c r="E71" i="39"/>
  <c r="G71" i="39"/>
  <c r="H71" i="39"/>
  <c r="I71" i="39"/>
  <c r="J71" i="39"/>
  <c r="K71" i="39"/>
  <c r="L71" i="39"/>
  <c r="M71" i="39"/>
  <c r="N71" i="39"/>
  <c r="P71" i="39"/>
  <c r="Q71" i="39"/>
  <c r="R71" i="39"/>
  <c r="S71" i="39"/>
  <c r="T71" i="39"/>
  <c r="U71" i="39"/>
  <c r="V71" i="39"/>
  <c r="W71" i="39"/>
  <c r="X71" i="39"/>
  <c r="Y71" i="39"/>
  <c r="Z71" i="39"/>
  <c r="AA71" i="39"/>
  <c r="AK49" i="53"/>
  <c r="AJ49" i="53"/>
  <c r="AI49" i="53"/>
  <c r="AH49" i="53"/>
  <c r="AG49" i="53"/>
  <c r="AF49" i="53"/>
  <c r="AE49" i="53"/>
  <c r="AK48" i="53"/>
  <c r="AJ48" i="53"/>
  <c r="AI48" i="53"/>
  <c r="AH48" i="53"/>
  <c r="AG48" i="53"/>
  <c r="AF48" i="53"/>
  <c r="AE48" i="53"/>
  <c r="AJ46" i="53"/>
  <c r="AH46" i="53"/>
  <c r="AF46" i="53"/>
  <c r="AE46" i="53"/>
  <c r="AK45" i="53"/>
  <c r="AJ45" i="53"/>
  <c r="AI45" i="53"/>
  <c r="AH45" i="53"/>
  <c r="AG45" i="53"/>
  <c r="AF45" i="53"/>
  <c r="AE45" i="53"/>
  <c r="AK44" i="53"/>
  <c r="AJ44" i="53"/>
  <c r="AI44" i="53"/>
  <c r="AH44" i="53"/>
  <c r="AG44" i="53"/>
  <c r="AF44" i="53"/>
  <c r="AE44" i="53"/>
  <c r="AK43" i="53"/>
  <c r="AJ43" i="53"/>
  <c r="AI43" i="53"/>
  <c r="AH43" i="53"/>
  <c r="AG43" i="53"/>
  <c r="AF43" i="53"/>
  <c r="AE43" i="53"/>
  <c r="AK42" i="53"/>
  <c r="AJ42" i="53"/>
  <c r="AI42" i="53"/>
  <c r="AH42" i="53"/>
  <c r="AG42" i="53"/>
  <c r="AF42" i="53"/>
  <c r="AE42" i="53"/>
  <c r="AK41" i="53"/>
  <c r="AJ41" i="53"/>
  <c r="AI41" i="53"/>
  <c r="AH41" i="53"/>
  <c r="AG41" i="53"/>
  <c r="AF41" i="53"/>
  <c r="AE41" i="53"/>
  <c r="AK40" i="53"/>
  <c r="AJ40" i="53"/>
  <c r="AI40" i="53"/>
  <c r="AH40" i="53"/>
  <c r="AG40" i="53"/>
  <c r="AF40" i="53"/>
  <c r="AE40" i="53"/>
  <c r="AK39" i="53"/>
  <c r="AJ39" i="53"/>
  <c r="AI39" i="53"/>
  <c r="AH39" i="53"/>
  <c r="AG39" i="53"/>
  <c r="AF39" i="53"/>
  <c r="AE39" i="53"/>
  <c r="AK38" i="53"/>
  <c r="AJ38" i="53"/>
  <c r="AI38" i="53"/>
  <c r="AH38" i="53"/>
  <c r="AG38" i="53"/>
  <c r="AF38" i="53"/>
  <c r="AE38" i="53"/>
  <c r="AK37" i="53"/>
  <c r="AJ37" i="53"/>
  <c r="AI37" i="53"/>
  <c r="AH37" i="53"/>
  <c r="AG37" i="53"/>
  <c r="AF37" i="53"/>
  <c r="AE37" i="53"/>
  <c r="AK35" i="53"/>
  <c r="AJ35" i="53"/>
  <c r="AI35" i="53"/>
  <c r="AH35" i="53"/>
  <c r="AF35" i="53"/>
  <c r="AE35" i="53"/>
  <c r="AK34" i="53"/>
  <c r="AJ34" i="53"/>
  <c r="AI34" i="53"/>
  <c r="AH34" i="53"/>
  <c r="AF34" i="53"/>
  <c r="AE34" i="53"/>
  <c r="AK33" i="53"/>
  <c r="AJ33" i="53"/>
  <c r="AI33" i="53"/>
  <c r="AH33" i="53"/>
  <c r="AF33" i="53"/>
  <c r="AE33" i="53"/>
  <c r="AK32" i="53"/>
  <c r="AJ32" i="53"/>
  <c r="AI32" i="53"/>
  <c r="AH32" i="53"/>
  <c r="AF32" i="53"/>
  <c r="AE32" i="53"/>
  <c r="AK30" i="53"/>
  <c r="AJ30" i="53"/>
  <c r="AI30" i="53"/>
  <c r="AH30" i="53"/>
  <c r="AG30" i="53"/>
  <c r="AF30" i="53"/>
  <c r="AE30" i="53"/>
  <c r="AK29" i="53"/>
  <c r="AJ29" i="53"/>
  <c r="AI29" i="53"/>
  <c r="AH29" i="53"/>
  <c r="AG29" i="53"/>
  <c r="AF29" i="53"/>
  <c r="AE29" i="53"/>
  <c r="AK28" i="53"/>
  <c r="AJ28" i="53"/>
  <c r="AI28" i="53"/>
  <c r="AH28" i="53"/>
  <c r="AF28" i="53"/>
  <c r="AE28" i="53"/>
  <c r="AK27" i="53"/>
  <c r="AJ27" i="53"/>
  <c r="AI27" i="53"/>
  <c r="AH27" i="53"/>
  <c r="AG27" i="53"/>
  <c r="AF27" i="53"/>
  <c r="AE27" i="53"/>
  <c r="AK26" i="53"/>
  <c r="AJ26" i="53"/>
  <c r="AI26" i="53"/>
  <c r="AH26" i="53"/>
  <c r="AG26" i="53"/>
  <c r="AF26" i="53"/>
  <c r="AE26" i="53"/>
  <c r="AK25" i="53"/>
  <c r="AJ25" i="53"/>
  <c r="AI25" i="53"/>
  <c r="AH25" i="53"/>
  <c r="AG25" i="53"/>
  <c r="AF25" i="53"/>
  <c r="AE25" i="53"/>
  <c r="AK24" i="53"/>
  <c r="AJ24" i="53"/>
  <c r="AI24" i="53"/>
  <c r="AH24" i="53"/>
  <c r="AF24" i="53"/>
  <c r="AE24" i="53"/>
  <c r="AK22" i="53"/>
  <c r="AJ22" i="53"/>
  <c r="AI22" i="53"/>
  <c r="AH22" i="53"/>
  <c r="AG22" i="53"/>
  <c r="AF22" i="53"/>
  <c r="AE22" i="53"/>
  <c r="AK21" i="53"/>
  <c r="AJ21" i="53"/>
  <c r="AI21" i="53"/>
  <c r="AH21" i="53"/>
  <c r="AG21" i="53"/>
  <c r="AF21" i="53"/>
  <c r="AE21" i="53"/>
  <c r="AK20" i="53"/>
  <c r="AJ20" i="53"/>
  <c r="AI20" i="53"/>
  <c r="AH20" i="53"/>
  <c r="AG20" i="53"/>
  <c r="AF20" i="53"/>
  <c r="AE20" i="53"/>
  <c r="AK19" i="53"/>
  <c r="AJ19" i="53"/>
  <c r="AI19" i="53"/>
  <c r="AH19" i="53"/>
  <c r="AF19" i="53"/>
  <c r="AE19" i="53"/>
  <c r="AK18" i="53"/>
  <c r="AJ18" i="53"/>
  <c r="AI18" i="53"/>
  <c r="AH18" i="53"/>
  <c r="AF18" i="53"/>
  <c r="AE18" i="53"/>
  <c r="AK17" i="53"/>
  <c r="AJ17" i="53"/>
  <c r="AI17" i="53"/>
  <c r="AH17" i="53"/>
  <c r="AF17" i="53"/>
  <c r="AE17" i="53"/>
  <c r="AK16" i="53"/>
  <c r="AJ16" i="53"/>
  <c r="AI16" i="53"/>
  <c r="AH16" i="53"/>
  <c r="AG16" i="53"/>
  <c r="AF16" i="53"/>
  <c r="AE16" i="53"/>
  <c r="AK15" i="53"/>
  <c r="AJ15" i="53"/>
  <c r="AI15" i="53"/>
  <c r="AH15" i="53"/>
  <c r="AG15" i="53"/>
  <c r="AF15" i="53"/>
  <c r="AE15" i="53"/>
  <c r="AK37" i="52"/>
  <c r="AJ37" i="52"/>
  <c r="AI37" i="52"/>
  <c r="AH37" i="52"/>
  <c r="AF37" i="52"/>
  <c r="AE37" i="52"/>
  <c r="AK36" i="52"/>
  <c r="AJ36" i="52"/>
  <c r="AI36" i="52"/>
  <c r="AH36" i="52"/>
  <c r="AG36" i="52"/>
  <c r="AF36" i="52"/>
  <c r="AE36" i="52"/>
  <c r="AK34" i="52"/>
  <c r="AJ34" i="52"/>
  <c r="AI34" i="52"/>
  <c r="AH34" i="52"/>
  <c r="AG34" i="52"/>
  <c r="AF34" i="52"/>
  <c r="AE34" i="52"/>
  <c r="AK33" i="52"/>
  <c r="AJ33" i="52"/>
  <c r="AI33" i="52"/>
  <c r="AH33" i="52"/>
  <c r="AG33" i="52"/>
  <c r="AF33" i="52"/>
  <c r="AE33" i="52"/>
  <c r="AK32" i="52"/>
  <c r="AJ32" i="52"/>
  <c r="AI32" i="52"/>
  <c r="AH32" i="52"/>
  <c r="AF32" i="52"/>
  <c r="AE32" i="52"/>
  <c r="AK31" i="52"/>
  <c r="AJ31" i="52"/>
  <c r="AI31" i="52"/>
  <c r="AH31" i="52"/>
  <c r="AF31" i="52"/>
  <c r="AE31" i="52"/>
  <c r="AK30" i="52"/>
  <c r="AJ30" i="52"/>
  <c r="AI30" i="52"/>
  <c r="AH30" i="52"/>
  <c r="AF30" i="52"/>
  <c r="AE30" i="52"/>
  <c r="AK28" i="52"/>
  <c r="AJ28" i="52"/>
  <c r="AI28" i="52"/>
  <c r="AH28" i="52"/>
  <c r="AF28" i="52"/>
  <c r="AE28" i="52"/>
  <c r="AK27" i="52"/>
  <c r="AJ27" i="52"/>
  <c r="AI27" i="52"/>
  <c r="AH27" i="52"/>
  <c r="AF27" i="52"/>
  <c r="AE27" i="52"/>
  <c r="AK26" i="52"/>
  <c r="AJ26" i="52"/>
  <c r="AI26" i="52"/>
  <c r="AH26" i="52"/>
  <c r="AF26" i="52"/>
  <c r="AE26" i="52"/>
  <c r="AK25" i="52"/>
  <c r="AJ25" i="52"/>
  <c r="AI25" i="52"/>
  <c r="AH25" i="52"/>
  <c r="AG25" i="52"/>
  <c r="AF25" i="52"/>
  <c r="AE25" i="52"/>
  <c r="AK24" i="52"/>
  <c r="AJ24" i="52"/>
  <c r="AI24" i="52"/>
  <c r="AH24" i="52"/>
  <c r="AF24" i="52"/>
  <c r="AE24" i="52"/>
  <c r="AK22" i="52"/>
  <c r="AJ22" i="52"/>
  <c r="AI22" i="52"/>
  <c r="AH22" i="52"/>
  <c r="AG22" i="52"/>
  <c r="AF22" i="52"/>
  <c r="AE22" i="52"/>
  <c r="AK21" i="52"/>
  <c r="AJ21" i="52"/>
  <c r="AI21" i="52"/>
  <c r="AH21" i="52"/>
  <c r="AG21" i="52"/>
  <c r="AF21" i="52"/>
  <c r="AE21" i="52"/>
  <c r="AK20" i="52"/>
  <c r="AJ20" i="52"/>
  <c r="AI20" i="52"/>
  <c r="AH20" i="52"/>
  <c r="AG20" i="52"/>
  <c r="AF20" i="52"/>
  <c r="AE20" i="52"/>
  <c r="AK19" i="52"/>
  <c r="AJ19" i="52"/>
  <c r="AI19" i="52"/>
  <c r="AH19" i="52"/>
  <c r="AF19" i="52"/>
  <c r="AE19" i="52"/>
  <c r="AK18" i="52"/>
  <c r="AJ18" i="52"/>
  <c r="AI18" i="52"/>
  <c r="AH18" i="52"/>
  <c r="AF18" i="52"/>
  <c r="AE18" i="52"/>
  <c r="AK17" i="52"/>
  <c r="AJ17" i="52"/>
  <c r="AI17" i="52"/>
  <c r="AH17" i="52"/>
  <c r="AG17" i="52"/>
  <c r="AF17" i="52"/>
  <c r="AE17" i="52"/>
  <c r="AK16" i="52"/>
  <c r="AJ16" i="52"/>
  <c r="AI16" i="52"/>
  <c r="AH16" i="52"/>
  <c r="AG16" i="52"/>
  <c r="AF16" i="52"/>
  <c r="AE16" i="52"/>
  <c r="AK15" i="52"/>
  <c r="AJ15" i="52"/>
  <c r="AI15" i="52"/>
  <c r="AH15" i="52"/>
  <c r="AG15" i="52"/>
  <c r="AF15" i="52"/>
  <c r="AE15" i="52"/>
  <c r="AK40" i="51"/>
  <c r="AJ40" i="51"/>
  <c r="AI40" i="51"/>
  <c r="AH40" i="51"/>
  <c r="AG40" i="51"/>
  <c r="AF40" i="51"/>
  <c r="AE40" i="51"/>
  <c r="AK39" i="51"/>
  <c r="AJ39" i="51"/>
  <c r="AI39" i="51"/>
  <c r="AH39" i="51"/>
  <c r="AG39" i="51"/>
  <c r="AF39" i="51"/>
  <c r="AE39" i="51"/>
  <c r="AK37" i="51"/>
  <c r="AJ37" i="51"/>
  <c r="AI37" i="51"/>
  <c r="AH37" i="51"/>
  <c r="AG37" i="51"/>
  <c r="AF37" i="51"/>
  <c r="AE37" i="51"/>
  <c r="AK36" i="51"/>
  <c r="AJ36" i="51"/>
  <c r="AI36" i="51"/>
  <c r="AH36" i="51"/>
  <c r="AG36" i="51"/>
  <c r="AF36" i="51"/>
  <c r="AE36" i="51"/>
  <c r="AK34" i="51"/>
  <c r="AJ34" i="51"/>
  <c r="AI34" i="51"/>
  <c r="AH34" i="51"/>
  <c r="AG34" i="51"/>
  <c r="AF34" i="51"/>
  <c r="AE34" i="51"/>
  <c r="AK33" i="51"/>
  <c r="AJ33" i="51"/>
  <c r="AI33" i="51"/>
  <c r="AH33" i="51"/>
  <c r="AF33" i="51"/>
  <c r="AE33" i="51"/>
  <c r="AK32" i="51"/>
  <c r="AJ32" i="51"/>
  <c r="AI32" i="51"/>
  <c r="AH32" i="51"/>
  <c r="AF32" i="51"/>
  <c r="AE32" i="51"/>
  <c r="AK31" i="51"/>
  <c r="AJ31" i="51"/>
  <c r="AI31" i="51"/>
  <c r="AH31" i="51"/>
  <c r="AF31" i="51"/>
  <c r="AE31" i="51"/>
  <c r="AK29" i="51"/>
  <c r="AJ29" i="51"/>
  <c r="AI29" i="51"/>
  <c r="AH29" i="51"/>
  <c r="AG29" i="51"/>
  <c r="AF29" i="51"/>
  <c r="AE29" i="51"/>
  <c r="AK28" i="51"/>
  <c r="AJ28" i="51"/>
  <c r="AI28" i="51"/>
  <c r="AH28" i="51"/>
  <c r="AF28" i="51"/>
  <c r="AE28" i="51"/>
  <c r="AK27" i="51"/>
  <c r="AJ27" i="51"/>
  <c r="AI27" i="51"/>
  <c r="AH27" i="51"/>
  <c r="AG27" i="51"/>
  <c r="AF27" i="51"/>
  <c r="AE27" i="51"/>
  <c r="AK26" i="51"/>
  <c r="AJ26" i="51"/>
  <c r="AI26" i="51"/>
  <c r="AH26" i="51"/>
  <c r="AF26" i="51"/>
  <c r="AE26" i="51"/>
  <c r="AK25" i="51"/>
  <c r="AJ25" i="51"/>
  <c r="AI25" i="51"/>
  <c r="AH25" i="51"/>
  <c r="AG25" i="51"/>
  <c r="AF25" i="51"/>
  <c r="AE25" i="51"/>
  <c r="AK24" i="51"/>
  <c r="AJ24" i="51"/>
  <c r="AI24" i="51"/>
  <c r="AH24" i="51"/>
  <c r="AF24" i="51"/>
  <c r="AE24" i="51"/>
  <c r="AK22" i="51"/>
  <c r="AJ22" i="51"/>
  <c r="AI22" i="51"/>
  <c r="AH22" i="51"/>
  <c r="AG22" i="51"/>
  <c r="AF22" i="51"/>
  <c r="AE22" i="51"/>
  <c r="AK21" i="51"/>
  <c r="AJ21" i="51"/>
  <c r="AI21" i="51"/>
  <c r="AH21" i="51"/>
  <c r="AG21" i="51"/>
  <c r="AF21" i="51"/>
  <c r="AE21" i="51"/>
  <c r="AK20" i="51"/>
  <c r="AJ20" i="51"/>
  <c r="AI20" i="51"/>
  <c r="AH20" i="51"/>
  <c r="AG20" i="51"/>
  <c r="AF20" i="51"/>
  <c r="AE20" i="51"/>
  <c r="AK19" i="51"/>
  <c r="AJ19" i="51"/>
  <c r="AI19" i="51"/>
  <c r="AH19" i="51"/>
  <c r="AF19" i="51"/>
  <c r="AE19" i="51"/>
  <c r="AK18" i="51"/>
  <c r="AJ18" i="51"/>
  <c r="AI18" i="51"/>
  <c r="AH18" i="51"/>
  <c r="AF18" i="51"/>
  <c r="AE18" i="51"/>
  <c r="AK17" i="51"/>
  <c r="AJ17" i="51"/>
  <c r="AI17" i="51"/>
  <c r="AH17" i="51"/>
  <c r="AF17" i="51"/>
  <c r="AE17" i="51"/>
  <c r="AK16" i="51"/>
  <c r="AJ16" i="51"/>
  <c r="AI16" i="51"/>
  <c r="AH16" i="51"/>
  <c r="AG16" i="51"/>
  <c r="AF16" i="51"/>
  <c r="AE16" i="51"/>
  <c r="AK15" i="51"/>
  <c r="AJ15" i="51"/>
  <c r="AI15" i="51"/>
  <c r="AH15" i="51"/>
  <c r="AG15" i="51"/>
  <c r="AF15" i="51"/>
  <c r="AE15" i="51"/>
  <c r="L21" i="39" l="1"/>
  <c r="L14" i="39" s="1"/>
  <c r="M21" i="39"/>
  <c r="M14" i="39" s="1"/>
  <c r="N21" i="39"/>
  <c r="N14" i="39" s="1"/>
  <c r="P21" i="39"/>
  <c r="P14" i="39" s="1"/>
  <c r="Q21" i="39"/>
  <c r="Q14" i="39" s="1"/>
  <c r="R21" i="39"/>
  <c r="R14" i="39" s="1"/>
  <c r="S14" i="39"/>
  <c r="V21" i="39"/>
  <c r="V14" i="39" s="1"/>
  <c r="X21" i="39"/>
  <c r="X14" i="39" s="1"/>
  <c r="Y21" i="39"/>
  <c r="Y14" i="39" s="1"/>
  <c r="Z21" i="39"/>
  <c r="Z14" i="39" s="1"/>
  <c r="AL52" i="39"/>
  <c r="AA21" i="39"/>
  <c r="AA14" i="39" s="1"/>
  <c r="AL25" i="39"/>
  <c r="AL26" i="39"/>
  <c r="AL29" i="39"/>
  <c r="AL30" i="39"/>
  <c r="AL31" i="39"/>
  <c r="AL32" i="39"/>
  <c r="AL33" i="39"/>
  <c r="AL35" i="39"/>
  <c r="AL37" i="39"/>
  <c r="AL38" i="39"/>
  <c r="AL39" i="39"/>
  <c r="AL40" i="39"/>
  <c r="AL43" i="39"/>
  <c r="AL44" i="39"/>
  <c r="AL45" i="39"/>
  <c r="AH52" i="39" l="1"/>
  <c r="AI52" i="39"/>
  <c r="AJ52" i="39"/>
  <c r="AK52" i="39"/>
  <c r="AK51" i="39"/>
  <c r="AJ51" i="39"/>
  <c r="AI51" i="39"/>
  <c r="AH51" i="39"/>
  <c r="AG51" i="39"/>
  <c r="AK50" i="39"/>
  <c r="AJ50" i="39"/>
  <c r="AI50" i="39"/>
  <c r="AH50" i="39"/>
  <c r="AK49" i="39"/>
  <c r="AJ49" i="39"/>
  <c r="AI49" i="39"/>
  <c r="AH49" i="39"/>
  <c r="AG49" i="39"/>
  <c r="AK48" i="39"/>
  <c r="AJ48" i="39"/>
  <c r="AI48" i="39"/>
  <c r="AH48" i="39"/>
  <c r="AG44" i="39"/>
  <c r="AH44" i="39"/>
  <c r="AI44" i="39"/>
  <c r="AJ44" i="39"/>
  <c r="AK44" i="39"/>
  <c r="AH45" i="39"/>
  <c r="AI45" i="39"/>
  <c r="AJ45" i="39"/>
  <c r="AK45" i="39"/>
  <c r="AH46" i="39"/>
  <c r="AI46" i="39"/>
  <c r="AJ46" i="39"/>
  <c r="AK46" i="39"/>
  <c r="AK43" i="39"/>
  <c r="AJ43" i="39"/>
  <c r="AI43" i="39"/>
  <c r="AH43" i="39"/>
  <c r="AG38" i="39"/>
  <c r="AH38" i="39"/>
  <c r="AI38" i="39"/>
  <c r="AJ38" i="39"/>
  <c r="AK38" i="39"/>
  <c r="AG39" i="39"/>
  <c r="AH39" i="39"/>
  <c r="AI39" i="39"/>
  <c r="AJ39" i="39"/>
  <c r="AK39" i="39"/>
  <c r="AH40" i="39"/>
  <c r="AI40" i="39"/>
  <c r="AJ40" i="39"/>
  <c r="AK40" i="39"/>
  <c r="AH41" i="39"/>
  <c r="AI41" i="39"/>
  <c r="AJ41" i="39"/>
  <c r="AK41" i="39"/>
  <c r="AK37" i="39"/>
  <c r="AJ37" i="39"/>
  <c r="AI37" i="39"/>
  <c r="AH37" i="39"/>
  <c r="AG37" i="39"/>
  <c r="AH23" i="39"/>
  <c r="AJ23" i="39"/>
  <c r="AG25" i="39"/>
  <c r="AH25" i="39"/>
  <c r="AI25" i="39"/>
  <c r="AJ25" i="39"/>
  <c r="AK25" i="39"/>
  <c r="AH26" i="39"/>
  <c r="AI26" i="39"/>
  <c r="AJ26" i="39"/>
  <c r="AK26" i="39"/>
  <c r="AH27" i="39"/>
  <c r="AI27" i="39"/>
  <c r="AJ27" i="39"/>
  <c r="AK27" i="39"/>
  <c r="AG28" i="39"/>
  <c r="AH28" i="39"/>
  <c r="AJ28" i="39"/>
  <c r="AG29" i="39"/>
  <c r="AH29" i="39"/>
  <c r="AI29" i="39"/>
  <c r="AJ29" i="39"/>
  <c r="AK29" i="39"/>
  <c r="AH30" i="39"/>
  <c r="AI30" i="39"/>
  <c r="AJ30" i="39"/>
  <c r="AK30" i="39"/>
  <c r="AG31" i="39"/>
  <c r="AH31" i="39"/>
  <c r="AI31" i="39"/>
  <c r="AJ31" i="39"/>
  <c r="AK31" i="39"/>
  <c r="AG32" i="39"/>
  <c r="AH32" i="39"/>
  <c r="AI32" i="39"/>
  <c r="AJ32" i="39"/>
  <c r="AK32" i="39"/>
  <c r="AH33" i="39"/>
  <c r="AI33" i="39"/>
  <c r="AJ33" i="39"/>
  <c r="AK33" i="39"/>
  <c r="AH34" i="39"/>
  <c r="AI34" i="39"/>
  <c r="AJ34" i="39"/>
  <c r="AK34" i="39"/>
  <c r="AH35" i="39"/>
  <c r="AI35" i="39"/>
  <c r="AJ35" i="39"/>
  <c r="AK35" i="39"/>
  <c r="AJ22" i="39"/>
  <c r="AH22" i="39"/>
  <c r="AH17" i="39"/>
  <c r="AJ17" i="39"/>
  <c r="AG18" i="39"/>
  <c r="AH18" i="39"/>
  <c r="AI18" i="39"/>
  <c r="AJ18" i="39"/>
  <c r="AK18" i="39"/>
  <c r="AG19" i="39"/>
  <c r="AH19" i="39"/>
  <c r="AI19" i="39"/>
  <c r="AJ19" i="39"/>
  <c r="AK19" i="39"/>
  <c r="AG20" i="39"/>
  <c r="AH20" i="39"/>
  <c r="AI20" i="39"/>
  <c r="AJ20" i="39"/>
  <c r="AK20" i="39"/>
  <c r="AJ16" i="39"/>
  <c r="AH16" i="39"/>
  <c r="AF38" i="39"/>
  <c r="AF39" i="39"/>
  <c r="AF37" i="39"/>
  <c r="AF32" i="39"/>
  <c r="AF31" i="39"/>
  <c r="AF29" i="39"/>
  <c r="AF28" i="39"/>
  <c r="AF25" i="39"/>
  <c r="AF18" i="39"/>
  <c r="AF19" i="39"/>
  <c r="AF20" i="39"/>
  <c r="AF48" i="39"/>
  <c r="AF49" i="39"/>
  <c r="AF50" i="39"/>
  <c r="AF51" i="39"/>
  <c r="AE49" i="39"/>
  <c r="AE50" i="39"/>
  <c r="AE51" i="39"/>
  <c r="AE52" i="39"/>
  <c r="AE44" i="39"/>
  <c r="AE38" i="39"/>
  <c r="AE39" i="39"/>
  <c r="AE37" i="39"/>
  <c r="AE32" i="39"/>
  <c r="AE31" i="39"/>
  <c r="AE29" i="39"/>
  <c r="AE28" i="39"/>
  <c r="AE25" i="39"/>
  <c r="AE19" i="39"/>
  <c r="AE20" i="39"/>
  <c r="AE18" i="39"/>
  <c r="L91" i="25"/>
  <c r="L90" i="25"/>
  <c r="L89" i="25"/>
  <c r="L86" i="25"/>
  <c r="L58" i="25"/>
  <c r="L39" i="25"/>
  <c r="L37" i="25"/>
  <c r="L30" i="25"/>
  <c r="L16" i="25"/>
  <c r="L14" i="25"/>
  <c r="L21" i="25"/>
  <c r="L19" i="25"/>
  <c r="I47" i="25" l="1"/>
  <c r="I40" i="25"/>
  <c r="I38" i="25" s="1"/>
  <c r="I164" i="24" l="1"/>
  <c r="I130" i="24"/>
  <c r="I163" i="24"/>
  <c r="L163" i="24" s="1"/>
  <c r="I160" i="24"/>
  <c r="L160" i="24" s="1"/>
  <c r="I158" i="24"/>
  <c r="L158" i="24" s="1"/>
  <c r="I157" i="24"/>
  <c r="L157" i="24" s="1"/>
  <c r="I156" i="24"/>
  <c r="L156" i="24" s="1"/>
  <c r="I155" i="24"/>
  <c r="L155" i="24" s="1"/>
  <c r="I118" i="24"/>
  <c r="I143" i="24"/>
  <c r="I85" i="24"/>
  <c r="I81" i="24"/>
  <c r="I78" i="24"/>
  <c r="I75" i="24"/>
  <c r="I57" i="24"/>
  <c r="L164" i="24" l="1"/>
  <c r="I22" i="24"/>
  <c r="D30" i="71" l="1"/>
  <c r="D29" i="71"/>
  <c r="D28" i="71"/>
  <c r="D25" i="71"/>
  <c r="D26" i="71"/>
  <c r="D24" i="71"/>
  <c r="E21" i="39" l="1"/>
  <c r="E14" i="39" s="1"/>
  <c r="H21" i="39"/>
  <c r="H14" i="39" s="1"/>
  <c r="I21" i="39"/>
  <c r="I14" i="39" s="1"/>
  <c r="J21" i="39"/>
  <c r="J14" i="39" s="1"/>
  <c r="K21" i="39"/>
  <c r="K14" i="39" s="1"/>
  <c r="AA70" i="39" l="1"/>
  <c r="I87" i="25" l="1"/>
  <c r="I30" i="27" l="1"/>
  <c r="F18" i="53" l="1"/>
  <c r="AG19" i="53" l="1"/>
  <c r="F17" i="53"/>
  <c r="AG17" i="53" s="1"/>
  <c r="AG18" i="53"/>
  <c r="I221" i="23"/>
  <c r="L221" i="23" s="1"/>
  <c r="I240" i="23" l="1"/>
  <c r="I14" i="64" l="1"/>
  <c r="C46" i="18" l="1"/>
  <c r="C39" i="18"/>
  <c r="C38" i="18" s="1"/>
  <c r="C36" i="18"/>
  <c r="C35" i="18"/>
  <c r="C34" i="18"/>
  <c r="C33" i="18"/>
  <c r="C32" i="18"/>
  <c r="C31" i="18"/>
  <c r="C30" i="18"/>
  <c r="F29" i="18"/>
  <c r="E29" i="18"/>
  <c r="D29" i="18"/>
  <c r="C28" i="18"/>
  <c r="C27" i="18"/>
  <c r="C26" i="18"/>
  <c r="C25" i="18"/>
  <c r="C24" i="18"/>
  <c r="C23" i="18"/>
  <c r="C22" i="18"/>
  <c r="F21" i="18"/>
  <c r="E21" i="18"/>
  <c r="D21" i="18"/>
  <c r="C20" i="18"/>
  <c r="C19" i="18"/>
  <c r="C18" i="18"/>
  <c r="C17" i="18"/>
  <c r="C16" i="18"/>
  <c r="C15" i="18"/>
  <c r="C14" i="18"/>
  <c r="F13" i="18"/>
  <c r="E13" i="18"/>
  <c r="D13" i="18"/>
  <c r="C21" i="18" l="1"/>
  <c r="C29" i="18"/>
  <c r="C13" i="18"/>
  <c r="I71" i="25"/>
  <c r="I61" i="25"/>
  <c r="I69" i="25"/>
  <c r="I68" i="25"/>
  <c r="I66" i="25"/>
  <c r="L66" i="25" s="1"/>
  <c r="I65" i="25"/>
  <c r="L65" i="25" s="1"/>
  <c r="I64" i="25"/>
  <c r="L64" i="25" s="1"/>
  <c r="I63" i="25"/>
  <c r="I67" i="25" l="1"/>
  <c r="L63" i="25"/>
  <c r="I62" i="25"/>
  <c r="C12" i="18"/>
  <c r="C11" i="18" s="1"/>
  <c r="D40" i="70"/>
  <c r="D37" i="70"/>
  <c r="B29" i="70"/>
  <c r="M27" i="70"/>
  <c r="H27" i="70"/>
  <c r="N27" i="70" s="1"/>
  <c r="G16" i="70"/>
  <c r="M16" i="70" s="1"/>
  <c r="G14" i="70"/>
  <c r="M14" i="70" s="1"/>
  <c r="D38" i="70"/>
  <c r="D36" i="70"/>
  <c r="I81" i="25" l="1"/>
  <c r="I9" i="18"/>
  <c r="L16" i="70"/>
  <c r="D41" i="70" s="1"/>
  <c r="D65" i="18" l="1"/>
  <c r="D66" i="18"/>
  <c r="I85" i="25"/>
  <c r="L85" i="25" s="1"/>
  <c r="I84" i="25"/>
  <c r="L84" i="25" s="1"/>
  <c r="I83" i="25"/>
  <c r="I29" i="27" l="1"/>
  <c r="N21" i="64" l="1"/>
  <c r="M21" i="64"/>
  <c r="N20" i="64"/>
  <c r="M20" i="64"/>
  <c r="N56" i="61"/>
  <c r="M56" i="61"/>
  <c r="L56" i="61"/>
  <c r="K56" i="61"/>
  <c r="J56" i="61"/>
  <c r="I56" i="61"/>
  <c r="H56" i="61"/>
  <c r="G56" i="61"/>
  <c r="F56" i="61"/>
  <c r="E56" i="61"/>
  <c r="D56" i="61"/>
  <c r="T51" i="61"/>
  <c r="S51" i="61"/>
  <c r="R51" i="61"/>
  <c r="Q51" i="61"/>
  <c r="P51" i="61"/>
  <c r="O51" i="61"/>
  <c r="N51" i="61"/>
  <c r="M51" i="61"/>
  <c r="L51" i="61"/>
  <c r="K51" i="61"/>
  <c r="J51" i="61"/>
  <c r="I51" i="61"/>
  <c r="H51" i="61"/>
  <c r="G51" i="61"/>
  <c r="F51" i="61"/>
  <c r="E51" i="61"/>
  <c r="D51" i="61"/>
  <c r="B46" i="61"/>
  <c r="T42" i="61"/>
  <c r="S42" i="61"/>
  <c r="R42" i="61"/>
  <c r="Q42" i="61"/>
  <c r="P42" i="61"/>
  <c r="O42" i="61"/>
  <c r="N42" i="61"/>
  <c r="M42" i="61"/>
  <c r="L42" i="61"/>
  <c r="K42" i="61"/>
  <c r="J42" i="61"/>
  <c r="I42" i="61"/>
  <c r="H42" i="61"/>
  <c r="G42" i="61"/>
  <c r="F42" i="61"/>
  <c r="E42" i="61"/>
  <c r="D42" i="61"/>
  <c r="T39" i="61"/>
  <c r="S39" i="61"/>
  <c r="R39" i="61"/>
  <c r="Q39" i="61"/>
  <c r="P39" i="61"/>
  <c r="O39" i="61"/>
  <c r="N39" i="61"/>
  <c r="M39" i="61"/>
  <c r="L39" i="61"/>
  <c r="K39" i="61"/>
  <c r="J39" i="61"/>
  <c r="I39" i="61"/>
  <c r="H39" i="61"/>
  <c r="G39" i="61"/>
  <c r="F39" i="61"/>
  <c r="E39" i="61"/>
  <c r="D39" i="61"/>
  <c r="T22" i="61"/>
  <c r="S22" i="61"/>
  <c r="R22" i="61"/>
  <c r="Q22" i="61"/>
  <c r="P22" i="61"/>
  <c r="O22" i="61"/>
  <c r="N22" i="61"/>
  <c r="M22" i="61"/>
  <c r="L22" i="61"/>
  <c r="K22" i="61"/>
  <c r="J22" i="61"/>
  <c r="I22" i="61"/>
  <c r="H22" i="61"/>
  <c r="G22" i="61"/>
  <c r="F22" i="61"/>
  <c r="E22" i="61"/>
  <c r="D22" i="61"/>
  <c r="T13" i="61"/>
  <c r="S13" i="61"/>
  <c r="R13" i="61"/>
  <c r="Q13" i="61"/>
  <c r="P13" i="61"/>
  <c r="O13" i="61"/>
  <c r="N13" i="61"/>
  <c r="M13" i="61"/>
  <c r="L13" i="61"/>
  <c r="K13" i="61"/>
  <c r="J13" i="61"/>
  <c r="I13" i="61"/>
  <c r="H13" i="61"/>
  <c r="G13" i="61"/>
  <c r="F13" i="61"/>
  <c r="E13" i="61"/>
  <c r="D13" i="61"/>
  <c r="K69" i="19"/>
  <c r="K44" i="19"/>
  <c r="K99" i="19"/>
  <c r="K26" i="19"/>
  <c r="K14" i="19"/>
  <c r="K15" i="19" s="1"/>
  <c r="K13" i="19" s="1"/>
  <c r="K146" i="33"/>
  <c r="M138" i="33"/>
  <c r="K126" i="33"/>
  <c r="K116" i="33"/>
  <c r="K108" i="33"/>
  <c r="K97" i="33"/>
  <c r="I58" i="33"/>
  <c r="K46" i="33"/>
  <c r="K45" i="33"/>
  <c r="K44" i="33"/>
  <c r="K43" i="33"/>
  <c r="K42" i="33"/>
  <c r="K41" i="33"/>
  <c r="L47" i="17"/>
  <c r="L46" i="17"/>
  <c r="L45" i="17"/>
  <c r="L44" i="17"/>
  <c r="I43" i="17"/>
  <c r="L43" i="17" s="1"/>
  <c r="L42" i="17"/>
  <c r="L41" i="17"/>
  <c r="L40" i="17"/>
  <c r="I35" i="17"/>
  <c r="L34" i="17"/>
  <c r="I28" i="17"/>
  <c r="L14" i="17"/>
  <c r="B39" i="52"/>
  <c r="F24" i="52"/>
  <c r="AG24" i="52" s="1"/>
  <c r="Z23" i="52"/>
  <c r="Y23" i="52"/>
  <c r="X23" i="52"/>
  <c r="W23" i="52"/>
  <c r="V23" i="52"/>
  <c r="AJ23" i="52" s="1"/>
  <c r="U23" i="52"/>
  <c r="T23" i="52"/>
  <c r="S23" i="52"/>
  <c r="R23" i="52"/>
  <c r="Q23" i="52"/>
  <c r="P23" i="52"/>
  <c r="N23" i="52"/>
  <c r="M23" i="52"/>
  <c r="L23" i="52"/>
  <c r="K23" i="52"/>
  <c r="J23" i="52"/>
  <c r="I23" i="52"/>
  <c r="H23" i="52"/>
  <c r="G23" i="52"/>
  <c r="E23" i="52"/>
  <c r="AF23" i="52" s="1"/>
  <c r="D23" i="52"/>
  <c r="AE23" i="52" s="1"/>
  <c r="AA47" i="53"/>
  <c r="AA14" i="53" s="1"/>
  <c r="AA64" i="53" s="1"/>
  <c r="Z47" i="53"/>
  <c r="Y47" i="53"/>
  <c r="X47" i="53"/>
  <c r="W47" i="53"/>
  <c r="V47" i="53"/>
  <c r="AJ47" i="53" s="1"/>
  <c r="U47" i="53"/>
  <c r="T47" i="53"/>
  <c r="S47" i="53"/>
  <c r="R47" i="53"/>
  <c r="Q47" i="53"/>
  <c r="P47" i="53"/>
  <c r="O47" i="53"/>
  <c r="N47" i="53"/>
  <c r="M47" i="53"/>
  <c r="L47" i="53"/>
  <c r="K47" i="53"/>
  <c r="J47" i="53"/>
  <c r="I47" i="53"/>
  <c r="H47" i="53"/>
  <c r="G47" i="53"/>
  <c r="F47" i="53"/>
  <c r="E47" i="53"/>
  <c r="AF47" i="53" s="1"/>
  <c r="D47" i="53"/>
  <c r="AE47" i="53" s="1"/>
  <c r="Z36" i="53"/>
  <c r="Y36" i="53"/>
  <c r="X36" i="53"/>
  <c r="X14" i="53" s="1"/>
  <c r="X64" i="53" s="1"/>
  <c r="V36" i="53"/>
  <c r="T36" i="53"/>
  <c r="S36" i="53"/>
  <c r="S14" i="53" s="1"/>
  <c r="S64" i="53" s="1"/>
  <c r="R36" i="53"/>
  <c r="Q36" i="53"/>
  <c r="P36" i="53"/>
  <c r="N36" i="53"/>
  <c r="M36" i="53"/>
  <c r="L36" i="53"/>
  <c r="K36" i="53"/>
  <c r="J36" i="53"/>
  <c r="I36" i="53"/>
  <c r="H36" i="53"/>
  <c r="G36" i="53"/>
  <c r="E36" i="53"/>
  <c r="AF36" i="53" s="1"/>
  <c r="D36" i="53"/>
  <c r="F34" i="53"/>
  <c r="AG34" i="53" s="1"/>
  <c r="Z23" i="53"/>
  <c r="Y23" i="53"/>
  <c r="X23" i="53"/>
  <c r="X68" i="53" s="1"/>
  <c r="W23" i="53"/>
  <c r="V23" i="53"/>
  <c r="U23" i="53"/>
  <c r="T23" i="53"/>
  <c r="S23" i="53"/>
  <c r="R23" i="53"/>
  <c r="Q23" i="53"/>
  <c r="P23" i="53"/>
  <c r="N23" i="53"/>
  <c r="M23" i="53"/>
  <c r="L23" i="53"/>
  <c r="L68" i="53" s="1"/>
  <c r="K23" i="53"/>
  <c r="J23" i="53"/>
  <c r="I23" i="53"/>
  <c r="H23" i="53"/>
  <c r="G23" i="53"/>
  <c r="G68" i="53" s="1"/>
  <c r="E23" i="53"/>
  <c r="D23" i="53"/>
  <c r="B42" i="51"/>
  <c r="AA38" i="51"/>
  <c r="Z38" i="51"/>
  <c r="Y38" i="51"/>
  <c r="X38" i="51"/>
  <c r="W38" i="51"/>
  <c r="V38" i="51"/>
  <c r="AJ38" i="51" s="1"/>
  <c r="U38" i="51"/>
  <c r="T38" i="51"/>
  <c r="S38" i="51"/>
  <c r="R38" i="51"/>
  <c r="Q38" i="51"/>
  <c r="P38" i="51"/>
  <c r="O38" i="51"/>
  <c r="N38" i="51"/>
  <c r="M38" i="51"/>
  <c r="L38" i="51"/>
  <c r="K38" i="51"/>
  <c r="K19" i="51" s="1"/>
  <c r="J38" i="51"/>
  <c r="I38" i="51"/>
  <c r="H38" i="51"/>
  <c r="G38" i="51"/>
  <c r="E38" i="51"/>
  <c r="AF38" i="51" s="1"/>
  <c r="D38" i="51"/>
  <c r="AE38" i="51" s="1"/>
  <c r="AG24" i="51"/>
  <c r="Z23" i="51"/>
  <c r="Y23" i="51"/>
  <c r="X23" i="51"/>
  <c r="V23" i="51"/>
  <c r="AJ23" i="51" s="1"/>
  <c r="U23" i="51"/>
  <c r="T23" i="51"/>
  <c r="S23" i="51"/>
  <c r="R23" i="51"/>
  <c r="Q23" i="51"/>
  <c r="P23" i="51"/>
  <c r="N23" i="51"/>
  <c r="M23" i="51"/>
  <c r="L23" i="51"/>
  <c r="K23" i="51"/>
  <c r="J23" i="51"/>
  <c r="I23" i="51"/>
  <c r="H23" i="51"/>
  <c r="G23" i="51"/>
  <c r="E23" i="51"/>
  <c r="AF23" i="51" s="1"/>
  <c r="D23" i="51"/>
  <c r="J76" i="39"/>
  <c r="H76" i="39"/>
  <c r="E76" i="39"/>
  <c r="W73" i="39"/>
  <c r="U73" i="39"/>
  <c r="M73" i="39"/>
  <c r="L73" i="39"/>
  <c r="J73" i="39"/>
  <c r="H73" i="39"/>
  <c r="E73" i="39"/>
  <c r="D73" i="39"/>
  <c r="AR50" i="39"/>
  <c r="AR48" i="39"/>
  <c r="AE48" i="39"/>
  <c r="AB48" i="39"/>
  <c r="AR47" i="39"/>
  <c r="AF47" i="39"/>
  <c r="AE47" i="39"/>
  <c r="G21" i="39"/>
  <c r="G15" i="39" s="1"/>
  <c r="AM15" i="39" s="1"/>
  <c r="AR46" i="39"/>
  <c r="AF46" i="39"/>
  <c r="AE46" i="39"/>
  <c r="AR45" i="39"/>
  <c r="AF45" i="39"/>
  <c r="AE45" i="39"/>
  <c r="AB45" i="39"/>
  <c r="AR43" i="39"/>
  <c r="AF43" i="39"/>
  <c r="AE43" i="39"/>
  <c r="AB43" i="39"/>
  <c r="AT43" i="39" s="1"/>
  <c r="AR42" i="39"/>
  <c r="AF42" i="39"/>
  <c r="AE42" i="39"/>
  <c r="AR41" i="39"/>
  <c r="AF41" i="39"/>
  <c r="AE41" i="39"/>
  <c r="AR35" i="39"/>
  <c r="AF35" i="39"/>
  <c r="AE35" i="39"/>
  <c r="I83" i="27"/>
  <c r="I82" i="27"/>
  <c r="I81" i="27"/>
  <c r="L47" i="27"/>
  <c r="L53" i="26"/>
  <c r="L48" i="26"/>
  <c r="L47" i="26"/>
  <c r="L46" i="26"/>
  <c r="L45" i="26"/>
  <c r="L44" i="26"/>
  <c r="L43" i="26"/>
  <c r="L42" i="26"/>
  <c r="L41" i="26"/>
  <c r="L40" i="26"/>
  <c r="L39" i="26"/>
  <c r="I36" i="26"/>
  <c r="L68" i="25"/>
  <c r="L53" i="25"/>
  <c r="L52" i="25"/>
  <c r="I51" i="25"/>
  <c r="L50" i="25"/>
  <c r="L49" i="25"/>
  <c r="L48" i="25"/>
  <c r="L46" i="25"/>
  <c r="L45" i="25"/>
  <c r="I44" i="25"/>
  <c r="L139" i="24"/>
  <c r="L137" i="24"/>
  <c r="L136" i="24"/>
  <c r="L135" i="24"/>
  <c r="L134" i="24"/>
  <c r="L133" i="24"/>
  <c r="L132" i="24"/>
  <c r="L124" i="24"/>
  <c r="L108" i="24"/>
  <c r="L82" i="24"/>
  <c r="L72" i="24"/>
  <c r="L62" i="24"/>
  <c r="L54" i="24"/>
  <c r="L49" i="24"/>
  <c r="L48" i="24"/>
  <c r="L47" i="24"/>
  <c r="L46" i="24"/>
  <c r="L45" i="24"/>
  <c r="L44" i="24"/>
  <c r="L40" i="24"/>
  <c r="L24" i="24"/>
  <c r="L487" i="23"/>
  <c r="L486" i="23"/>
  <c r="L485" i="23"/>
  <c r="L484" i="23"/>
  <c r="L483" i="23"/>
  <c r="L482" i="23"/>
  <c r="L481" i="23"/>
  <c r="L480" i="23"/>
  <c r="L478" i="23"/>
  <c r="L473" i="23"/>
  <c r="L433" i="23"/>
  <c r="L432" i="23"/>
  <c r="L431" i="23"/>
  <c r="I430" i="23"/>
  <c r="L430" i="23" s="1"/>
  <c r="I425" i="23"/>
  <c r="I424" i="23"/>
  <c r="I423" i="23"/>
  <c r="L345" i="23"/>
  <c r="L344" i="23"/>
  <c r="L343" i="23"/>
  <c r="L341" i="23"/>
  <c r="L340" i="23"/>
  <c r="L334" i="23"/>
  <c r="I324" i="23"/>
  <c r="I404" i="23" s="1"/>
  <c r="I321" i="23"/>
  <c r="I311" i="23"/>
  <c r="L307" i="23"/>
  <c r="L294" i="23"/>
  <c r="I293" i="23"/>
  <c r="L264" i="23"/>
  <c r="I262" i="23"/>
  <c r="L254" i="23"/>
  <c r="I253" i="23"/>
  <c r="L246" i="23"/>
  <c r="L245" i="23"/>
  <c r="I244" i="23"/>
  <c r="L244" i="23" s="1"/>
  <c r="L241" i="23"/>
  <c r="L240" i="23"/>
  <c r="L234" i="23"/>
  <c r="I233" i="23"/>
  <c r="L149" i="23"/>
  <c r="L147" i="23"/>
  <c r="L146" i="23"/>
  <c r="L145" i="23"/>
  <c r="L144" i="23"/>
  <c r="L143" i="23"/>
  <c r="L142" i="23"/>
  <c r="L134" i="23"/>
  <c r="L114" i="23"/>
  <c r="L104" i="23"/>
  <c r="L84" i="23"/>
  <c r="L74" i="23"/>
  <c r="L64" i="23"/>
  <c r="L54" i="23"/>
  <c r="L49" i="23"/>
  <c r="L48" i="23"/>
  <c r="L47" i="23"/>
  <c r="L46" i="23"/>
  <c r="L45" i="23"/>
  <c r="L44" i="23"/>
  <c r="L40" i="23"/>
  <c r="L24" i="23"/>
  <c r="B36" i="8"/>
  <c r="H43" i="8"/>
  <c r="L494" i="23"/>
  <c r="L493" i="23"/>
  <c r="L490" i="23"/>
  <c r="L489" i="23"/>
  <c r="I488" i="23"/>
  <c r="B98" i="25"/>
  <c r="L63" i="26"/>
  <c r="AA76" i="39"/>
  <c r="W76" i="39"/>
  <c r="U76" i="39"/>
  <c r="M76" i="39"/>
  <c r="L76" i="39"/>
  <c r="T56" i="61"/>
  <c r="S56" i="61"/>
  <c r="R56" i="61"/>
  <c r="Q56" i="61"/>
  <c r="P56" i="61"/>
  <c r="O56" i="61"/>
  <c r="M22" i="64"/>
  <c r="J22" i="64"/>
  <c r="N22" i="64" s="1"/>
  <c r="B33" i="65"/>
  <c r="I73" i="25"/>
  <c r="I38" i="77" l="1"/>
  <c r="O19" i="51"/>
  <c r="O17" i="51" s="1"/>
  <c r="K17" i="51"/>
  <c r="AG17" i="51" s="1"/>
  <c r="AI47" i="53"/>
  <c r="M68" i="53"/>
  <c r="G14" i="39"/>
  <c r="G70" i="39" s="1"/>
  <c r="AE23" i="51"/>
  <c r="N68" i="53"/>
  <c r="K103" i="19"/>
  <c r="AI23" i="51"/>
  <c r="AI38" i="51"/>
  <c r="I68" i="53"/>
  <c r="R68" i="53"/>
  <c r="Z68" i="53"/>
  <c r="K14" i="53"/>
  <c r="K64" i="53" s="1"/>
  <c r="E38" i="61"/>
  <c r="K68" i="53"/>
  <c r="H68" i="53"/>
  <c r="Q68" i="53"/>
  <c r="Y68" i="53"/>
  <c r="AI23" i="52"/>
  <c r="J68" i="53"/>
  <c r="S68" i="53"/>
  <c r="AG38" i="51"/>
  <c r="AH23" i="52"/>
  <c r="P68" i="53"/>
  <c r="AH23" i="53"/>
  <c r="J14" i="53"/>
  <c r="J64" i="53" s="1"/>
  <c r="F65" i="53"/>
  <c r="AG24" i="53"/>
  <c r="T14" i="53"/>
  <c r="T68" i="53"/>
  <c r="AI23" i="53"/>
  <c r="D14" i="53"/>
  <c r="AE36" i="53"/>
  <c r="V14" i="53"/>
  <c r="AJ36" i="53"/>
  <c r="AG47" i="53"/>
  <c r="N14" i="53"/>
  <c r="N64" i="53" s="1"/>
  <c r="AK38" i="51"/>
  <c r="D68" i="53"/>
  <c r="AE23" i="53"/>
  <c r="V68" i="53"/>
  <c r="AJ23" i="53"/>
  <c r="AK47" i="53"/>
  <c r="AH23" i="51"/>
  <c r="AH38" i="51"/>
  <c r="E68" i="53"/>
  <c r="AF23" i="53"/>
  <c r="P14" i="53"/>
  <c r="AH36" i="53"/>
  <c r="AH47" i="53"/>
  <c r="AO45" i="39"/>
  <c r="AG45" i="39"/>
  <c r="O76" i="39"/>
  <c r="F77" i="39"/>
  <c r="AG48" i="39"/>
  <c r="F78" i="39"/>
  <c r="G14" i="53"/>
  <c r="G64" i="53" s="1"/>
  <c r="H14" i="53"/>
  <c r="H64" i="53" s="1"/>
  <c r="L14" i="53"/>
  <c r="L64" i="53" s="1"/>
  <c r="I38" i="61"/>
  <c r="M38" i="61"/>
  <c r="Q38" i="61"/>
  <c r="P38" i="61"/>
  <c r="R14" i="53"/>
  <c r="R64" i="53" s="1"/>
  <c r="Z14" i="53"/>
  <c r="Z64" i="53" s="1"/>
  <c r="L51" i="25"/>
  <c r="D38" i="61"/>
  <c r="H38" i="61"/>
  <c r="L38" i="61"/>
  <c r="T38" i="61"/>
  <c r="AB35" i="39"/>
  <c r="AT35" i="39" s="1"/>
  <c r="AB42" i="39"/>
  <c r="AT42" i="39" s="1"/>
  <c r="AB47" i="39"/>
  <c r="AT47" i="39" s="1"/>
  <c r="L324" i="23"/>
  <c r="AB41" i="39"/>
  <c r="AT41" i="39" s="1"/>
  <c r="I464" i="23"/>
  <c r="F76" i="39"/>
  <c r="Q14" i="53"/>
  <c r="Q64" i="53" s="1"/>
  <c r="Y14" i="53"/>
  <c r="Y64" i="53" s="1"/>
  <c r="I14" i="53"/>
  <c r="I64" i="53" s="1"/>
  <c r="M14" i="53"/>
  <c r="M64" i="53" s="1"/>
  <c r="AT45" i="39"/>
  <c r="G38" i="61"/>
  <c r="K38" i="61"/>
  <c r="O38" i="61"/>
  <c r="S38" i="61"/>
  <c r="AB50" i="39"/>
  <c r="AT50" i="39" s="1"/>
  <c r="AT48" i="39"/>
  <c r="F38" i="61"/>
  <c r="J38" i="61"/>
  <c r="N38" i="61"/>
  <c r="R38" i="61"/>
  <c r="AG35" i="39"/>
  <c r="AO42" i="39"/>
  <c r="AB46" i="39"/>
  <c r="E14" i="53"/>
  <c r="AO47" i="39"/>
  <c r="F36" i="53"/>
  <c r="AG46" i="53" l="1"/>
  <c r="U46" i="53"/>
  <c r="E64" i="53"/>
  <c r="AF14" i="53"/>
  <c r="T64" i="53"/>
  <c r="V64" i="53"/>
  <c r="AJ14" i="53"/>
  <c r="P64" i="53"/>
  <c r="AH14" i="53"/>
  <c r="D64" i="53"/>
  <c r="AE14" i="53"/>
  <c r="F14" i="53"/>
  <c r="AO46" i="39"/>
  <c r="AG46" i="39"/>
  <c r="AO41" i="39"/>
  <c r="AO50" i="39"/>
  <c r="O78" i="39"/>
  <c r="AO43" i="39"/>
  <c r="AG43" i="39"/>
  <c r="AG41" i="39"/>
  <c r="AG50" i="39"/>
  <c r="AO48" i="39"/>
  <c r="O77" i="39"/>
  <c r="O36" i="53"/>
  <c r="O14" i="53" s="1"/>
  <c r="O64" i="53" s="1"/>
  <c r="AT46" i="39"/>
  <c r="AO35" i="39"/>
  <c r="W46" i="53" l="1"/>
  <c r="AI46" i="53"/>
  <c r="U36" i="53"/>
  <c r="AG36" i="53"/>
  <c r="AG14" i="53"/>
  <c r="F64" i="53"/>
  <c r="I72" i="25"/>
  <c r="D30" i="65"/>
  <c r="D27" i="65"/>
  <c r="B24" i="65"/>
  <c r="N22" i="65"/>
  <c r="M22" i="65"/>
  <c r="N20" i="65"/>
  <c r="M20" i="65"/>
  <c r="N18" i="65"/>
  <c r="M18" i="65"/>
  <c r="J12" i="65"/>
  <c r="N14" i="65" s="1"/>
  <c r="I12" i="65"/>
  <c r="M14" i="65" s="1"/>
  <c r="D28" i="65"/>
  <c r="D26" i="65"/>
  <c r="M18" i="64"/>
  <c r="J18" i="64"/>
  <c r="N18" i="64" s="1"/>
  <c r="M17" i="64"/>
  <c r="J17" i="64"/>
  <c r="N17" i="64" s="1"/>
  <c r="M16" i="64"/>
  <c r="J16" i="64"/>
  <c r="N16" i="64" s="1"/>
  <c r="M15" i="64"/>
  <c r="J15" i="64"/>
  <c r="N15" i="64" s="1"/>
  <c r="M14" i="64"/>
  <c r="B33" i="64"/>
  <c r="D27" i="64"/>
  <c r="B24" i="64"/>
  <c r="D28" i="64"/>
  <c r="D26" i="64"/>
  <c r="D65" i="61"/>
  <c r="D62" i="61"/>
  <c r="T55" i="61"/>
  <c r="S55" i="61"/>
  <c r="R55" i="61"/>
  <c r="Q55" i="61"/>
  <c r="P55" i="61"/>
  <c r="O55" i="61"/>
  <c r="N55" i="61"/>
  <c r="M55" i="61"/>
  <c r="L55" i="61"/>
  <c r="K55" i="61"/>
  <c r="J55" i="61"/>
  <c r="I55" i="61"/>
  <c r="H55" i="61"/>
  <c r="G55" i="61"/>
  <c r="F55" i="61"/>
  <c r="E55" i="61"/>
  <c r="D55" i="61"/>
  <c r="T52" i="61"/>
  <c r="S52" i="61"/>
  <c r="R52" i="61"/>
  <c r="Q52" i="61"/>
  <c r="P52" i="61"/>
  <c r="O52" i="61"/>
  <c r="N52" i="61"/>
  <c r="M52" i="61"/>
  <c r="L52" i="61"/>
  <c r="K52" i="61"/>
  <c r="J52" i="61"/>
  <c r="I52" i="61"/>
  <c r="H52" i="61"/>
  <c r="G52" i="61"/>
  <c r="F52" i="61"/>
  <c r="E52" i="61"/>
  <c r="D52" i="61"/>
  <c r="T35" i="61"/>
  <c r="S35" i="61"/>
  <c r="R35" i="61"/>
  <c r="Q35" i="61"/>
  <c r="P35" i="61"/>
  <c r="O35" i="61"/>
  <c r="N35" i="61"/>
  <c r="M35" i="61"/>
  <c r="L35" i="61"/>
  <c r="K35" i="61"/>
  <c r="J35" i="61"/>
  <c r="I35" i="61"/>
  <c r="H35" i="61"/>
  <c r="G35" i="61"/>
  <c r="F35" i="61"/>
  <c r="E35" i="61"/>
  <c r="D35" i="61"/>
  <c r="T30" i="61"/>
  <c r="S30" i="61"/>
  <c r="R30" i="61"/>
  <c r="Q30" i="61"/>
  <c r="P30" i="61"/>
  <c r="O30" i="61"/>
  <c r="N30" i="61"/>
  <c r="M30" i="61"/>
  <c r="L30" i="61"/>
  <c r="K30" i="61"/>
  <c r="J30" i="61"/>
  <c r="I30" i="61"/>
  <c r="H30" i="61"/>
  <c r="G30" i="61"/>
  <c r="F30" i="61"/>
  <c r="E30" i="61"/>
  <c r="D30" i="61"/>
  <c r="T25" i="61"/>
  <c r="T21" i="61" s="1"/>
  <c r="S25" i="61"/>
  <c r="S21" i="61" s="1"/>
  <c r="R25" i="61"/>
  <c r="R21" i="61" s="1"/>
  <c r="Q25" i="61"/>
  <c r="Q21" i="61" s="1"/>
  <c r="P25" i="61"/>
  <c r="P21" i="61" s="1"/>
  <c r="O25" i="61"/>
  <c r="O21" i="61" s="1"/>
  <c r="N25" i="61"/>
  <c r="N21" i="61" s="1"/>
  <c r="M25" i="61"/>
  <c r="M21" i="61" s="1"/>
  <c r="L25" i="61"/>
  <c r="L21" i="61" s="1"/>
  <c r="K25" i="61"/>
  <c r="K21" i="61" s="1"/>
  <c r="J25" i="61"/>
  <c r="J21" i="61" s="1"/>
  <c r="I25" i="61"/>
  <c r="I21" i="61" s="1"/>
  <c r="H25" i="61"/>
  <c r="H21" i="61" s="1"/>
  <c r="G25" i="61"/>
  <c r="G21" i="61" s="1"/>
  <c r="F25" i="61"/>
  <c r="F21" i="61" s="1"/>
  <c r="E25" i="61"/>
  <c r="E21" i="61" s="1"/>
  <c r="D25" i="61"/>
  <c r="D21" i="61" s="1"/>
  <c r="T18" i="61"/>
  <c r="T12" i="61" s="1"/>
  <c r="S18" i="61"/>
  <c r="R18" i="61"/>
  <c r="R12" i="61" s="1"/>
  <c r="Q18" i="61"/>
  <c r="Q12" i="61" s="1"/>
  <c r="P18" i="61"/>
  <c r="P12" i="61" s="1"/>
  <c r="O18" i="61"/>
  <c r="O12" i="61" s="1"/>
  <c r="N18" i="61"/>
  <c r="N12" i="61" s="1"/>
  <c r="M18" i="61"/>
  <c r="M12" i="61" s="1"/>
  <c r="L18" i="61"/>
  <c r="L12" i="61" s="1"/>
  <c r="K18" i="61"/>
  <c r="K12" i="61" s="1"/>
  <c r="J18" i="61"/>
  <c r="J12" i="61" s="1"/>
  <c r="I18" i="61"/>
  <c r="I12" i="61" s="1"/>
  <c r="H18" i="61"/>
  <c r="H12" i="61" s="1"/>
  <c r="G18" i="61"/>
  <c r="G12" i="61" s="1"/>
  <c r="F18" i="61"/>
  <c r="F12" i="61" s="1"/>
  <c r="E18" i="61"/>
  <c r="E12" i="61" s="1"/>
  <c r="D18" i="61"/>
  <c r="D12" i="61" s="1"/>
  <c r="S12" i="61"/>
  <c r="D63" i="61"/>
  <c r="D61" i="61"/>
  <c r="U68" i="53" l="1"/>
  <c r="U14" i="53"/>
  <c r="AI36" i="53"/>
  <c r="AL46" i="53"/>
  <c r="AK46" i="53"/>
  <c r="W36" i="53"/>
  <c r="I70" i="25"/>
  <c r="J29" i="61"/>
  <c r="R29" i="61"/>
  <c r="F29" i="61"/>
  <c r="N29" i="61"/>
  <c r="G29" i="61"/>
  <c r="G28" i="61" s="1"/>
  <c r="F11" i="61"/>
  <c r="J11" i="61"/>
  <c r="N11" i="61"/>
  <c r="K29" i="61"/>
  <c r="K28" i="61" s="1"/>
  <c r="O29" i="61"/>
  <c r="O28" i="61" s="1"/>
  <c r="S29" i="61"/>
  <c r="S28" i="61" s="1"/>
  <c r="E29" i="61"/>
  <c r="E28" i="61" s="1"/>
  <c r="I29" i="61"/>
  <c r="I28" i="61" s="1"/>
  <c r="M29" i="61"/>
  <c r="M28" i="61" s="1"/>
  <c r="Q29" i="61"/>
  <c r="Q28" i="61" s="1"/>
  <c r="D29" i="61"/>
  <c r="D28" i="61" s="1"/>
  <c r="H29" i="61"/>
  <c r="H28" i="61" s="1"/>
  <c r="L29" i="61"/>
  <c r="L28" i="61" s="1"/>
  <c r="P29" i="61"/>
  <c r="P28" i="61" s="1"/>
  <c r="T29" i="61"/>
  <c r="T28" i="61" s="1"/>
  <c r="O11" i="61"/>
  <c r="R11" i="61"/>
  <c r="D67" i="61"/>
  <c r="G11" i="61"/>
  <c r="I11" i="61"/>
  <c r="Q11" i="61"/>
  <c r="I26" i="65"/>
  <c r="K11" i="61"/>
  <c r="S11" i="61"/>
  <c r="N12" i="65"/>
  <c r="E11" i="61"/>
  <c r="M11" i="61"/>
  <c r="M16" i="65"/>
  <c r="J28" i="61"/>
  <c r="R28" i="61"/>
  <c r="D11" i="61"/>
  <c r="H11" i="61"/>
  <c r="L11" i="61"/>
  <c r="P11" i="61"/>
  <c r="T11" i="61"/>
  <c r="F28" i="61"/>
  <c r="N28" i="61"/>
  <c r="J14" i="64"/>
  <c r="N13" i="65"/>
  <c r="N15" i="65"/>
  <c r="J26" i="65"/>
  <c r="D66" i="61"/>
  <c r="M12" i="65"/>
  <c r="N16" i="65"/>
  <c r="M15" i="65"/>
  <c r="W68" i="53" l="1"/>
  <c r="W14" i="53"/>
  <c r="AK36" i="53"/>
  <c r="U64" i="53"/>
  <c r="AI14" i="53"/>
  <c r="L78" i="25"/>
  <c r="D31" i="64"/>
  <c r="N14" i="64"/>
  <c r="I60" i="25"/>
  <c r="D31" i="65"/>
  <c r="E52" i="50"/>
  <c r="AF52" i="50" s="1"/>
  <c r="G52" i="50"/>
  <c r="H52" i="50"/>
  <c r="I52" i="50"/>
  <c r="J52" i="50"/>
  <c r="K52" i="50"/>
  <c r="L52" i="50"/>
  <c r="M52" i="50"/>
  <c r="N52" i="50"/>
  <c r="P52" i="50"/>
  <c r="Q52" i="50"/>
  <c r="R52" i="50"/>
  <c r="S52" i="50"/>
  <c r="T52" i="50"/>
  <c r="U52" i="50"/>
  <c r="V52" i="50"/>
  <c r="AJ52" i="50" s="1"/>
  <c r="W52" i="50"/>
  <c r="X52" i="50"/>
  <c r="Y52" i="50"/>
  <c r="Z52" i="50"/>
  <c r="AA52" i="50"/>
  <c r="D52" i="50"/>
  <c r="AE52" i="50" s="1"/>
  <c r="I59" i="25" l="1"/>
  <c r="AK14" i="53"/>
  <c r="W64" i="53"/>
  <c r="AH52" i="50"/>
  <c r="AG52" i="50"/>
  <c r="AK52" i="50"/>
  <c r="AI52" i="50"/>
  <c r="I74" i="25"/>
  <c r="L62" i="25" l="1"/>
  <c r="E70" i="39"/>
  <c r="H70" i="39"/>
  <c r="I70" i="39"/>
  <c r="J70" i="39"/>
  <c r="K70" i="39"/>
  <c r="L70" i="39"/>
  <c r="M70" i="39"/>
  <c r="N70" i="39"/>
  <c r="P70" i="39"/>
  <c r="Q70" i="39"/>
  <c r="R70" i="39"/>
  <c r="S70" i="39"/>
  <c r="V70" i="39"/>
  <c r="X70" i="39"/>
  <c r="Y70" i="39"/>
  <c r="Z70" i="39"/>
  <c r="E35" i="52"/>
  <c r="G35" i="52"/>
  <c r="G14" i="52" s="1"/>
  <c r="H35" i="52"/>
  <c r="H14" i="52" s="1"/>
  <c r="I35" i="52"/>
  <c r="I14" i="52" s="1"/>
  <c r="J35" i="52"/>
  <c r="J14" i="52" s="1"/>
  <c r="K35" i="52"/>
  <c r="K14" i="52" s="1"/>
  <c r="L35" i="52"/>
  <c r="L14" i="52" s="1"/>
  <c r="M35" i="52"/>
  <c r="M14" i="52" s="1"/>
  <c r="N35" i="52"/>
  <c r="N14" i="52" s="1"/>
  <c r="P35" i="52"/>
  <c r="Q35" i="52"/>
  <c r="Q14" i="52" s="1"/>
  <c r="R35" i="52"/>
  <c r="R14" i="52" s="1"/>
  <c r="S35" i="52"/>
  <c r="S14" i="52" s="1"/>
  <c r="T35" i="52"/>
  <c r="U35" i="52"/>
  <c r="U14" i="52" s="1"/>
  <c r="V35" i="52"/>
  <c r="W35" i="52"/>
  <c r="X35" i="52"/>
  <c r="Y35" i="52"/>
  <c r="Y14" i="52" s="1"/>
  <c r="Z35" i="52"/>
  <c r="Z14" i="52" s="1"/>
  <c r="D35" i="52"/>
  <c r="E63" i="50"/>
  <c r="AF63" i="50" s="1"/>
  <c r="G63" i="50"/>
  <c r="H63" i="50"/>
  <c r="I63" i="50"/>
  <c r="J63" i="50"/>
  <c r="K63" i="50"/>
  <c r="L63" i="50"/>
  <c r="M63" i="50"/>
  <c r="N63" i="50"/>
  <c r="P63" i="50"/>
  <c r="Q63" i="50"/>
  <c r="R63" i="50"/>
  <c r="S63" i="50"/>
  <c r="T63" i="50"/>
  <c r="AI63" i="50" s="1"/>
  <c r="V63" i="50"/>
  <c r="AJ63" i="50" s="1"/>
  <c r="W63" i="50"/>
  <c r="X63" i="50"/>
  <c r="Y63" i="50"/>
  <c r="Z63" i="50"/>
  <c r="AA63" i="50"/>
  <c r="D63" i="50"/>
  <c r="E35" i="51"/>
  <c r="F35" i="51"/>
  <c r="G35" i="51"/>
  <c r="H35" i="51"/>
  <c r="I35" i="51"/>
  <c r="I14" i="51" s="1"/>
  <c r="J35" i="51"/>
  <c r="J14" i="51" s="1"/>
  <c r="K35" i="51"/>
  <c r="K14" i="51" s="1"/>
  <c r="L35" i="51"/>
  <c r="L14" i="51" s="1"/>
  <c r="M35" i="51"/>
  <c r="M14" i="51" s="1"/>
  <c r="N35" i="51"/>
  <c r="N14" i="51" s="1"/>
  <c r="P35" i="51"/>
  <c r="Q35" i="51"/>
  <c r="Q14" i="51" s="1"/>
  <c r="R35" i="51"/>
  <c r="R14" i="51" s="1"/>
  <c r="S14" i="51"/>
  <c r="T35" i="51"/>
  <c r="U14" i="51"/>
  <c r="V35" i="51"/>
  <c r="W35" i="51"/>
  <c r="X35" i="51"/>
  <c r="Y35" i="51"/>
  <c r="Z35" i="51"/>
  <c r="Z14" i="51" s="1"/>
  <c r="AA35" i="51"/>
  <c r="D35" i="51"/>
  <c r="AH63" i="50" l="1"/>
  <c r="AG63" i="50"/>
  <c r="U52" i="52"/>
  <c r="U53" i="52"/>
  <c r="L53" i="52"/>
  <c r="L52" i="52"/>
  <c r="P14" i="51"/>
  <c r="AH35" i="51"/>
  <c r="T14" i="52"/>
  <c r="AI35" i="52"/>
  <c r="K52" i="52"/>
  <c r="K53" i="52"/>
  <c r="AK63" i="50"/>
  <c r="D14" i="52"/>
  <c r="AE35" i="52"/>
  <c r="S53" i="52"/>
  <c r="S52" i="52"/>
  <c r="J52" i="52"/>
  <c r="J53" i="52"/>
  <c r="N56" i="51"/>
  <c r="N55" i="51"/>
  <c r="Z52" i="52"/>
  <c r="Z53" i="52"/>
  <c r="R52" i="52"/>
  <c r="R53" i="52"/>
  <c r="I52" i="52"/>
  <c r="I53" i="52"/>
  <c r="Q56" i="51"/>
  <c r="Q55" i="51"/>
  <c r="W14" i="51"/>
  <c r="AK35" i="51"/>
  <c r="Y53" i="52"/>
  <c r="Y52" i="52"/>
  <c r="Q53" i="52"/>
  <c r="Q52" i="52"/>
  <c r="H53" i="52"/>
  <c r="H52" i="52"/>
  <c r="AG35" i="51"/>
  <c r="D14" i="50"/>
  <c r="AE63" i="50"/>
  <c r="P14" i="52"/>
  <c r="AH35" i="52"/>
  <c r="G53" i="52"/>
  <c r="G52" i="52"/>
  <c r="U56" i="51"/>
  <c r="U55" i="51"/>
  <c r="L56" i="51"/>
  <c r="L55" i="51"/>
  <c r="X53" i="52"/>
  <c r="X52" i="52"/>
  <c r="S56" i="51"/>
  <c r="S55" i="51"/>
  <c r="K56" i="51"/>
  <c r="K55" i="51"/>
  <c r="W14" i="52"/>
  <c r="N53" i="52"/>
  <c r="N52" i="52"/>
  <c r="E14" i="52"/>
  <c r="AF35" i="52"/>
  <c r="I56" i="51"/>
  <c r="I55" i="51"/>
  <c r="V14" i="51"/>
  <c r="AJ35" i="51"/>
  <c r="M56" i="51"/>
  <c r="M55" i="51"/>
  <c r="E14" i="51"/>
  <c r="AF35" i="51"/>
  <c r="T14" i="51"/>
  <c r="AI35" i="51"/>
  <c r="Z55" i="51"/>
  <c r="Z56" i="51"/>
  <c r="R55" i="51"/>
  <c r="R56" i="51"/>
  <c r="J55" i="51"/>
  <c r="J56" i="51"/>
  <c r="V14" i="52"/>
  <c r="AJ35" i="52"/>
  <c r="M52" i="52"/>
  <c r="M53" i="52"/>
  <c r="AE35" i="51"/>
  <c r="AP14" i="39"/>
  <c r="AS14" i="39"/>
  <c r="AJ14" i="39"/>
  <c r="AH14" i="39"/>
  <c r="X14" i="51"/>
  <c r="H14" i="51"/>
  <c r="G14" i="51"/>
  <c r="Y14" i="51"/>
  <c r="AF14" i="39"/>
  <c r="N14" i="50"/>
  <c r="Y14" i="50"/>
  <c r="I14" i="50"/>
  <c r="J14" i="50"/>
  <c r="Z14" i="50"/>
  <c r="V14" i="50"/>
  <c r="R14" i="50"/>
  <c r="E14" i="50"/>
  <c r="K14" i="50"/>
  <c r="G14" i="50"/>
  <c r="W14" i="50"/>
  <c r="S14" i="50"/>
  <c r="M14" i="50"/>
  <c r="U14" i="50"/>
  <c r="Q14" i="50"/>
  <c r="L14" i="50"/>
  <c r="H14" i="50"/>
  <c r="X14" i="50"/>
  <c r="T14" i="50"/>
  <c r="P14" i="50"/>
  <c r="S83" i="50" l="1"/>
  <c r="S82" i="50"/>
  <c r="I83" i="50"/>
  <c r="I82" i="50"/>
  <c r="G55" i="51"/>
  <c r="G56" i="51"/>
  <c r="AE14" i="51"/>
  <c r="D56" i="51"/>
  <c r="D55" i="51"/>
  <c r="P53" i="52"/>
  <c r="P52" i="52"/>
  <c r="AH14" i="52"/>
  <c r="T52" i="52"/>
  <c r="T53" i="52"/>
  <c r="AI14" i="52"/>
  <c r="P83" i="50"/>
  <c r="P82" i="50"/>
  <c r="AH14" i="50"/>
  <c r="Y83" i="50"/>
  <c r="Y82" i="50"/>
  <c r="H56" i="51"/>
  <c r="H55" i="51"/>
  <c r="Y56" i="51"/>
  <c r="Y55" i="51"/>
  <c r="H83" i="50"/>
  <c r="H82" i="50"/>
  <c r="K83" i="50"/>
  <c r="K82" i="50"/>
  <c r="N83" i="50"/>
  <c r="N82" i="50"/>
  <c r="X55" i="51"/>
  <c r="X56" i="51"/>
  <c r="V55" i="51"/>
  <c r="V56" i="51"/>
  <c r="AJ14" i="51"/>
  <c r="W53" i="52"/>
  <c r="W52" i="52"/>
  <c r="D83" i="50"/>
  <c r="D82" i="50"/>
  <c r="AE14" i="50"/>
  <c r="P56" i="51"/>
  <c r="P55" i="51"/>
  <c r="AH14" i="51"/>
  <c r="G83" i="50"/>
  <c r="G82" i="50"/>
  <c r="W56" i="51"/>
  <c r="W55" i="51"/>
  <c r="D52" i="52"/>
  <c r="D53" i="52"/>
  <c r="AE14" i="52"/>
  <c r="W83" i="50"/>
  <c r="W82" i="50"/>
  <c r="L83" i="50"/>
  <c r="L82" i="50"/>
  <c r="Q83" i="50"/>
  <c r="Q82" i="50"/>
  <c r="R83" i="50"/>
  <c r="R82" i="50"/>
  <c r="V53" i="52"/>
  <c r="V52" i="52"/>
  <c r="AJ14" i="52"/>
  <c r="T56" i="51"/>
  <c r="T55" i="51"/>
  <c r="AI14" i="51"/>
  <c r="T83" i="50"/>
  <c r="T82" i="50"/>
  <c r="AI14" i="50"/>
  <c r="V83" i="50"/>
  <c r="V82" i="50"/>
  <c r="AJ14" i="50"/>
  <c r="J83" i="50"/>
  <c r="J82" i="50"/>
  <c r="X83" i="50"/>
  <c r="X82" i="50"/>
  <c r="E83" i="50"/>
  <c r="E82" i="50"/>
  <c r="AF14" i="50"/>
  <c r="U83" i="50"/>
  <c r="U82" i="50"/>
  <c r="M83" i="50"/>
  <c r="M82" i="50"/>
  <c r="Z83" i="50"/>
  <c r="Z82" i="50"/>
  <c r="E56" i="51"/>
  <c r="E55" i="51"/>
  <c r="AF14" i="51"/>
  <c r="E52" i="52"/>
  <c r="E53" i="52"/>
  <c r="AF14" i="52"/>
  <c r="F28" i="52" l="1"/>
  <c r="AG28" i="52" s="1"/>
  <c r="D59" i="53" l="1"/>
  <c r="B51" i="53"/>
  <c r="F35" i="53"/>
  <c r="AG35" i="53" s="1"/>
  <c r="F33" i="53"/>
  <c r="AG33" i="53" s="1"/>
  <c r="F32" i="53"/>
  <c r="AG32" i="53" s="1"/>
  <c r="AA3" i="53"/>
  <c r="D57" i="53" s="1"/>
  <c r="AA2" i="53"/>
  <c r="D55" i="53" s="1"/>
  <c r="AA1" i="53"/>
  <c r="D56" i="53" s="1"/>
  <c r="D47" i="52"/>
  <c r="F37" i="52"/>
  <c r="AG32" i="52"/>
  <c r="F31" i="52"/>
  <c r="AG31" i="52" s="1"/>
  <c r="F30" i="52"/>
  <c r="AG30" i="52" s="1"/>
  <c r="F27" i="52"/>
  <c r="AG27" i="52" s="1"/>
  <c r="AA23" i="52"/>
  <c r="AK23" i="52" s="1"/>
  <c r="F26" i="52"/>
  <c r="AG26" i="52" s="1"/>
  <c r="F19" i="52"/>
  <c r="AG19" i="52" s="1"/>
  <c r="F18" i="52"/>
  <c r="AA3" i="52"/>
  <c r="D45" i="52" s="1"/>
  <c r="AA2" i="52"/>
  <c r="D43" i="52" s="1"/>
  <c r="AA1" i="52"/>
  <c r="D44" i="52" s="1"/>
  <c r="D50" i="51"/>
  <c r="AG33" i="51"/>
  <c r="F32" i="51"/>
  <c r="AG32" i="51" s="1"/>
  <c r="F31" i="51"/>
  <c r="AG31" i="51" s="1"/>
  <c r="F30" i="51"/>
  <c r="AG28" i="51"/>
  <c r="AG26" i="51"/>
  <c r="AG19" i="51"/>
  <c r="F18" i="51"/>
  <c r="AA3" i="51"/>
  <c r="D48" i="51" s="1"/>
  <c r="AA2" i="51"/>
  <c r="D46" i="51" s="1"/>
  <c r="AA1" i="51"/>
  <c r="D47" i="51" s="1"/>
  <c r="D77" i="50"/>
  <c r="B69" i="50"/>
  <c r="AA3" i="50"/>
  <c r="D75" i="50" s="1"/>
  <c r="AA2" i="50"/>
  <c r="D73" i="50" s="1"/>
  <c r="AA1" i="50"/>
  <c r="D74" i="50" s="1"/>
  <c r="F67" i="53" l="1"/>
  <c r="AG28" i="53"/>
  <c r="AG18" i="51"/>
  <c r="AG18" i="52"/>
  <c r="F35" i="52"/>
  <c r="AG37" i="52"/>
  <c r="F23" i="52"/>
  <c r="AA23" i="53"/>
  <c r="F23" i="51"/>
  <c r="AA23" i="51"/>
  <c r="AK23" i="51" s="1"/>
  <c r="F23" i="53"/>
  <c r="AA35" i="52"/>
  <c r="AA14" i="50"/>
  <c r="O23" i="52"/>
  <c r="F14" i="51" l="1"/>
  <c r="F14" i="52"/>
  <c r="AG23" i="52"/>
  <c r="AA14" i="52"/>
  <c r="AL34" i="52"/>
  <c r="AK35" i="52"/>
  <c r="AA68" i="53"/>
  <c r="AK23" i="53"/>
  <c r="AA83" i="50"/>
  <c r="AA82" i="50"/>
  <c r="AK14" i="50"/>
  <c r="F68" i="53"/>
  <c r="AA14" i="51"/>
  <c r="O24" i="50"/>
  <c r="AG24" i="50" s="1"/>
  <c r="O23" i="53"/>
  <c r="O68" i="53" s="1"/>
  <c r="O23" i="51"/>
  <c r="O14" i="51" s="1"/>
  <c r="O35" i="52"/>
  <c r="O14" i="52" s="1"/>
  <c r="AG23" i="53" l="1"/>
  <c r="D60" i="53" s="1"/>
  <c r="AA53" i="52"/>
  <c r="AA52" i="52"/>
  <c r="AK14" i="52"/>
  <c r="O53" i="52"/>
  <c r="O52" i="52"/>
  <c r="F53" i="52"/>
  <c r="AG14" i="52"/>
  <c r="F52" i="52"/>
  <c r="D48" i="52" s="1"/>
  <c r="AG35" i="52"/>
  <c r="AA56" i="51"/>
  <c r="AA55" i="51"/>
  <c r="AK14" i="51"/>
  <c r="AG23" i="51"/>
  <c r="O55" i="51"/>
  <c r="O56" i="51"/>
  <c r="F56" i="51"/>
  <c r="AG14" i="51"/>
  <c r="F55" i="51"/>
  <c r="D51" i="51" s="1"/>
  <c r="O14" i="50"/>
  <c r="AR52" i="39"/>
  <c r="AF52" i="39"/>
  <c r="O83" i="50" l="1"/>
  <c r="O82" i="50"/>
  <c r="D78" i="50" s="1"/>
  <c r="AG14" i="50"/>
  <c r="AO52" i="39"/>
  <c r="AG52" i="39"/>
  <c r="AB52" i="39"/>
  <c r="AT52" i="39" s="1"/>
  <c r="B31" i="46" l="1"/>
  <c r="L27" i="25" l="1"/>
  <c r="L26" i="25"/>
  <c r="L25" i="25"/>
  <c r="I24" i="25"/>
  <c r="L24" i="25" s="1"/>
  <c r="D65" i="39" l="1"/>
  <c r="D71" i="39"/>
  <c r="D72" i="39"/>
  <c r="B57" i="39"/>
  <c r="AR40" i="39"/>
  <c r="AF40" i="39"/>
  <c r="AE40" i="39"/>
  <c r="AR36" i="39"/>
  <c r="AF36" i="39"/>
  <c r="AE36" i="39"/>
  <c r="AA73" i="39"/>
  <c r="F73" i="39"/>
  <c r="AR34" i="39"/>
  <c r="AF34" i="39"/>
  <c r="AE34" i="39"/>
  <c r="AB34" i="39"/>
  <c r="AR33" i="39"/>
  <c r="AF33" i="39"/>
  <c r="AE33" i="39"/>
  <c r="AR30" i="39"/>
  <c r="AF30" i="39"/>
  <c r="AE30" i="39"/>
  <c r="AR27" i="39"/>
  <c r="AF27" i="39"/>
  <c r="AE27" i="39"/>
  <c r="AR26" i="39"/>
  <c r="AF26" i="39"/>
  <c r="AE26" i="39"/>
  <c r="AB26" i="39"/>
  <c r="AT26" i="39" s="1"/>
  <c r="AF23" i="39"/>
  <c r="AE23" i="39"/>
  <c r="F23" i="39"/>
  <c r="O23" i="39" s="1"/>
  <c r="AF22" i="39"/>
  <c r="AE22" i="39"/>
  <c r="F22" i="39"/>
  <c r="O22" i="39" s="1"/>
  <c r="AF17" i="39"/>
  <c r="AE17" i="39"/>
  <c r="AB17" i="39"/>
  <c r="F17" i="39"/>
  <c r="AF16" i="39"/>
  <c r="AE16" i="39"/>
  <c r="AB16" i="39"/>
  <c r="F16" i="39"/>
  <c r="AB3" i="39"/>
  <c r="D63" i="39" s="1"/>
  <c r="AB2" i="39"/>
  <c r="D61" i="39" s="1"/>
  <c r="AB1" i="39"/>
  <c r="D62" i="39" s="1"/>
  <c r="U23" i="39" l="1"/>
  <c r="AR23" i="39" s="1"/>
  <c r="F15" i="39"/>
  <c r="W22" i="39"/>
  <c r="AI22" i="39"/>
  <c r="O17" i="39"/>
  <c r="AG17" i="39" s="1"/>
  <c r="AR22" i="39"/>
  <c r="F74" i="39"/>
  <c r="AG23" i="39"/>
  <c r="F71" i="39"/>
  <c r="AO30" i="39"/>
  <c r="AG30" i="39"/>
  <c r="AG33" i="39"/>
  <c r="F72" i="39"/>
  <c r="F21" i="39"/>
  <c r="D70" i="39"/>
  <c r="O73" i="39"/>
  <c r="AB33" i="39"/>
  <c r="AT33" i="39" s="1"/>
  <c r="AB23" i="39"/>
  <c r="AB40" i="39"/>
  <c r="AT40" i="39" s="1"/>
  <c r="AO23" i="39"/>
  <c r="AB27" i="39"/>
  <c r="AT34" i="39"/>
  <c r="O75" i="39"/>
  <c r="O16" i="39"/>
  <c r="AG26" i="39"/>
  <c r="AB30" i="39"/>
  <c r="AT30" i="39" s="1"/>
  <c r="AG34" i="39"/>
  <c r="AB36" i="39"/>
  <c r="W23" i="39" l="1"/>
  <c r="AL23" i="39" s="1"/>
  <c r="AI23" i="39"/>
  <c r="F14" i="39"/>
  <c r="F70" i="39" s="1"/>
  <c r="AK23" i="39"/>
  <c r="O15" i="39"/>
  <c r="AG16" i="39"/>
  <c r="AL22" i="39"/>
  <c r="AK22" i="39"/>
  <c r="AT22" i="39"/>
  <c r="AO40" i="39"/>
  <c r="O74" i="39"/>
  <c r="O21" i="39"/>
  <c r="O14" i="39" s="1"/>
  <c r="AG22" i="39"/>
  <c r="AO27" i="39"/>
  <c r="O71" i="39"/>
  <c r="O72" i="39"/>
  <c r="AO17" i="39"/>
  <c r="AO33" i="39"/>
  <c r="AG27" i="39"/>
  <c r="AG40" i="39"/>
  <c r="AT36" i="39"/>
  <c r="AE14" i="39"/>
  <c r="AB14" i="39"/>
  <c r="AO22" i="39"/>
  <c r="AO34" i="39"/>
  <c r="AO26" i="39"/>
  <c r="AT27" i="39"/>
  <c r="AO16" i="39"/>
  <c r="AT23" i="39" l="1"/>
  <c r="W16" i="39"/>
  <c r="AN16" i="39" s="1"/>
  <c r="AI16" i="39"/>
  <c r="AR16" i="39"/>
  <c r="W17" i="39"/>
  <c r="AN17" i="39" s="1"/>
  <c r="AI17" i="39"/>
  <c r="AR17" i="39"/>
  <c r="O70" i="39"/>
  <c r="AO36" i="39"/>
  <c r="AK17" i="39" l="1"/>
  <c r="AT17" i="39"/>
  <c r="W15" i="39"/>
  <c r="AN15" i="39" s="1"/>
  <c r="AK16" i="39"/>
  <c r="AT16" i="39"/>
  <c r="AG14" i="39"/>
  <c r="AO14" i="39"/>
  <c r="K27" i="19" l="1"/>
  <c r="K25" i="19" s="1"/>
  <c r="L81" i="25" l="1"/>
  <c r="D177" i="33"/>
  <c r="D174" i="33"/>
  <c r="B162" i="33"/>
  <c r="B179" i="33"/>
  <c r="K138" i="33"/>
  <c r="K139" i="33" s="1"/>
  <c r="K160" i="33" s="1"/>
  <c r="I87" i="33"/>
  <c r="K86" i="33"/>
  <c r="K87" i="33" s="1"/>
  <c r="I81" i="33"/>
  <c r="K80" i="33"/>
  <c r="K81" i="33" s="1"/>
  <c r="K74" i="33"/>
  <c r="K64" i="33"/>
  <c r="K61" i="33"/>
  <c r="K57" i="33"/>
  <c r="K56" i="33"/>
  <c r="K55" i="33"/>
  <c r="K52" i="33"/>
  <c r="K51" i="33"/>
  <c r="K50" i="33"/>
  <c r="I31" i="33"/>
  <c r="I33" i="33" s="1"/>
  <c r="K22" i="33"/>
  <c r="I22" i="33"/>
  <c r="D175" i="33"/>
  <c r="D173" i="33"/>
  <c r="K58" i="33" l="1"/>
  <c r="K67" i="33"/>
  <c r="N10" i="33"/>
  <c r="D178" i="33" s="1"/>
  <c r="D109" i="27"/>
  <c r="D106" i="27"/>
  <c r="B98" i="27"/>
  <c r="L91" i="27"/>
  <c r="L90" i="27"/>
  <c r="L89" i="27"/>
  <c r="I88" i="27"/>
  <c r="L88" i="27" s="1"/>
  <c r="I46" i="27"/>
  <c r="I45" i="27"/>
  <c r="D107" i="27"/>
  <c r="D105" i="27"/>
  <c r="D81" i="26"/>
  <c r="D78" i="26"/>
  <c r="B70" i="26"/>
  <c r="L62" i="26"/>
  <c r="L61" i="26"/>
  <c r="L55" i="26"/>
  <c r="L54" i="26"/>
  <c r="L51" i="26"/>
  <c r="L50" i="26"/>
  <c r="L49" i="26"/>
  <c r="L37" i="26"/>
  <c r="L34" i="26"/>
  <c r="L27" i="26"/>
  <c r="L26" i="26"/>
  <c r="L21" i="26"/>
  <c r="D79" i="26"/>
  <c r="D77" i="26"/>
  <c r="D109" i="25"/>
  <c r="D106" i="25"/>
  <c r="L88" i="25"/>
  <c r="I28" i="27"/>
  <c r="L77" i="25"/>
  <c r="L76" i="25"/>
  <c r="L75" i="25"/>
  <c r="L73" i="25"/>
  <c r="L72" i="25"/>
  <c r="L71" i="25"/>
  <c r="L69" i="25"/>
  <c r="L61" i="25"/>
  <c r="L60" i="25"/>
  <c r="L57" i="25"/>
  <c r="L56" i="25"/>
  <c r="L55" i="25"/>
  <c r="I54" i="25"/>
  <c r="L44" i="25"/>
  <c r="L43" i="25"/>
  <c r="L42" i="25"/>
  <c r="L41" i="25"/>
  <c r="L36" i="25"/>
  <c r="L23" i="25"/>
  <c r="L29" i="25"/>
  <c r="L22" i="25"/>
  <c r="L20" i="25"/>
  <c r="I18" i="25"/>
  <c r="I15" i="25" s="1"/>
  <c r="I13" i="25" s="1"/>
  <c r="L17" i="25"/>
  <c r="D107" i="25"/>
  <c r="D105" i="25"/>
  <c r="D187" i="24"/>
  <c r="D184" i="24"/>
  <c r="B176" i="24"/>
  <c r="L174" i="24"/>
  <c r="L173" i="24"/>
  <c r="L172" i="24"/>
  <c r="L171" i="24"/>
  <c r="L170" i="24"/>
  <c r="L169" i="24"/>
  <c r="L167" i="24"/>
  <c r="L153" i="24"/>
  <c r="L152" i="24"/>
  <c r="L151" i="24"/>
  <c r="L150" i="24"/>
  <c r="L149" i="24"/>
  <c r="L148" i="24"/>
  <c r="L146" i="24"/>
  <c r="L142" i="24"/>
  <c r="L141" i="24"/>
  <c r="L129" i="24"/>
  <c r="L128" i="24"/>
  <c r="L127" i="24"/>
  <c r="L126" i="24"/>
  <c r="L125" i="24"/>
  <c r="L123" i="24"/>
  <c r="L122" i="24"/>
  <c r="L121" i="24"/>
  <c r="L119" i="24"/>
  <c r="L113" i="24"/>
  <c r="L112" i="24"/>
  <c r="I109" i="24"/>
  <c r="L107" i="24"/>
  <c r="L106" i="24"/>
  <c r="L105" i="24"/>
  <c r="L104" i="24"/>
  <c r="L103" i="24"/>
  <c r="I101" i="24"/>
  <c r="L100" i="24"/>
  <c r="L99" i="24"/>
  <c r="L98" i="24"/>
  <c r="L97" i="24"/>
  <c r="L96" i="24"/>
  <c r="L91" i="24"/>
  <c r="I90" i="24"/>
  <c r="L88" i="24"/>
  <c r="L87" i="24"/>
  <c r="L86" i="24"/>
  <c r="L84" i="24"/>
  <c r="L83" i="24"/>
  <c r="L80" i="24"/>
  <c r="L79" i="24"/>
  <c r="L77" i="24"/>
  <c r="L76" i="24"/>
  <c r="L71" i="24"/>
  <c r="L70" i="24"/>
  <c r="L69" i="24"/>
  <c r="L68" i="24"/>
  <c r="L67" i="24"/>
  <c r="L66" i="24"/>
  <c r="L65" i="24"/>
  <c r="L64" i="24"/>
  <c r="L63" i="24"/>
  <c r="L61" i="24"/>
  <c r="L60" i="24"/>
  <c r="L59" i="24"/>
  <c r="L56" i="24"/>
  <c r="L55" i="24"/>
  <c r="L53" i="24"/>
  <c r="L52" i="24"/>
  <c r="L51" i="24"/>
  <c r="L50" i="24"/>
  <c r="L39" i="24"/>
  <c r="L38" i="24"/>
  <c r="L37" i="24"/>
  <c r="L36" i="24"/>
  <c r="L35" i="24"/>
  <c r="L30" i="24"/>
  <c r="L28" i="24"/>
  <c r="L27" i="24"/>
  <c r="L26" i="24"/>
  <c r="L25" i="24"/>
  <c r="L21" i="24"/>
  <c r="L20" i="24"/>
  <c r="L19" i="24"/>
  <c r="I17" i="24"/>
  <c r="L15" i="24"/>
  <c r="D185" i="24"/>
  <c r="D183" i="24"/>
  <c r="D507" i="23"/>
  <c r="D504" i="23"/>
  <c r="B496" i="23"/>
  <c r="I460" i="23"/>
  <c r="L389" i="23"/>
  <c r="I387" i="23"/>
  <c r="I458" i="23" s="1"/>
  <c r="I375" i="23"/>
  <c r="I374" i="23"/>
  <c r="I373" i="23"/>
  <c r="L353" i="23"/>
  <c r="L352" i="23"/>
  <c r="L351" i="23"/>
  <c r="L339" i="23"/>
  <c r="L338" i="23"/>
  <c r="L337" i="23"/>
  <c r="L336" i="23"/>
  <c r="L335" i="23"/>
  <c r="L333" i="23"/>
  <c r="L332" i="23"/>
  <c r="L331" i="23"/>
  <c r="L330" i="23"/>
  <c r="L329" i="23"/>
  <c r="L327" i="23"/>
  <c r="I326" i="23"/>
  <c r="I408" i="23"/>
  <c r="L317" i="23"/>
  <c r="L316" i="23"/>
  <c r="L300" i="23"/>
  <c r="L299" i="23"/>
  <c r="L298" i="23"/>
  <c r="I297" i="23"/>
  <c r="L296" i="23"/>
  <c r="L295" i="23"/>
  <c r="L292" i="23"/>
  <c r="L291" i="23"/>
  <c r="L290" i="23"/>
  <c r="L289" i="23"/>
  <c r="L288" i="23"/>
  <c r="L287" i="23"/>
  <c r="L286" i="23"/>
  <c r="I285" i="23"/>
  <c r="L285" i="23" s="1"/>
  <c r="L284" i="23"/>
  <c r="L283" i="23"/>
  <c r="L282" i="23"/>
  <c r="L281" i="23"/>
  <c r="L279" i="23"/>
  <c r="L278" i="23"/>
  <c r="I277" i="23"/>
  <c r="L276" i="23"/>
  <c r="L275" i="23"/>
  <c r="L274" i="23"/>
  <c r="L271" i="23"/>
  <c r="L270" i="23"/>
  <c r="L263" i="23"/>
  <c r="L261" i="23"/>
  <c r="L260" i="23"/>
  <c r="L259" i="23"/>
  <c r="L258" i="23"/>
  <c r="I257" i="23"/>
  <c r="L257" i="23" s="1"/>
  <c r="L256" i="23"/>
  <c r="L255" i="23"/>
  <c r="L253" i="23"/>
  <c r="L252" i="23"/>
  <c r="L251" i="23"/>
  <c r="L250" i="23"/>
  <c r="I249" i="23"/>
  <c r="L249" i="23" s="1"/>
  <c r="L239" i="23"/>
  <c r="L238" i="23"/>
  <c r="L237" i="23"/>
  <c r="I236" i="23"/>
  <c r="L236" i="23" s="1"/>
  <c r="L235" i="23"/>
  <c r="L233" i="23"/>
  <c r="L232" i="23"/>
  <c r="L231" i="23"/>
  <c r="I230" i="23"/>
  <c r="L230" i="23" s="1"/>
  <c r="L229" i="23"/>
  <c r="L226" i="23"/>
  <c r="L225" i="23"/>
  <c r="I224" i="23"/>
  <c r="L224" i="23" s="1"/>
  <c r="L223" i="23"/>
  <c r="L222" i="23"/>
  <c r="L220" i="23"/>
  <c r="L210" i="23"/>
  <c r="L209" i="23"/>
  <c r="L208" i="23"/>
  <c r="L207" i="23"/>
  <c r="L206" i="23"/>
  <c r="L205" i="23"/>
  <c r="L190" i="23"/>
  <c r="I189" i="23"/>
  <c r="I191" i="23" s="1"/>
  <c r="L188" i="23"/>
  <c r="L187" i="23"/>
  <c r="L173" i="23"/>
  <c r="L172" i="23"/>
  <c r="L171" i="23"/>
  <c r="L170" i="23"/>
  <c r="L169" i="23"/>
  <c r="L168" i="23"/>
  <c r="L166" i="23"/>
  <c r="L152" i="23"/>
  <c r="L151" i="23"/>
  <c r="I140" i="23"/>
  <c r="L139" i="23"/>
  <c r="L138" i="23"/>
  <c r="L137" i="23"/>
  <c r="L136" i="23"/>
  <c r="L135" i="23"/>
  <c r="L133" i="23"/>
  <c r="L132" i="23"/>
  <c r="L131" i="23"/>
  <c r="L130" i="23"/>
  <c r="L129" i="23"/>
  <c r="L128" i="23"/>
  <c r="L127" i="23"/>
  <c r="L125" i="23"/>
  <c r="L119" i="23"/>
  <c r="L118" i="23"/>
  <c r="I115" i="23"/>
  <c r="L115" i="23" s="1"/>
  <c r="L113" i="23"/>
  <c r="L112" i="23"/>
  <c r="L111" i="23"/>
  <c r="L110" i="23"/>
  <c r="L109" i="23"/>
  <c r="I107" i="23"/>
  <c r="I180" i="23" s="1"/>
  <c r="L106" i="23"/>
  <c r="L105" i="23"/>
  <c r="L103" i="23"/>
  <c r="L102" i="23"/>
  <c r="L101" i="23"/>
  <c r="L100" i="23"/>
  <c r="L99" i="23"/>
  <c r="L98" i="23"/>
  <c r="L93" i="23"/>
  <c r="I92" i="23"/>
  <c r="L92" i="23" s="1"/>
  <c r="L90" i="23"/>
  <c r="L89" i="23"/>
  <c r="L88" i="23"/>
  <c r="L86" i="23"/>
  <c r="L85" i="23"/>
  <c r="L82" i="23"/>
  <c r="L81" i="23"/>
  <c r="L79" i="23"/>
  <c r="L78" i="23"/>
  <c r="L73" i="23"/>
  <c r="L72" i="23"/>
  <c r="L71" i="23"/>
  <c r="L70" i="23"/>
  <c r="L69" i="23"/>
  <c r="L68" i="23"/>
  <c r="L67" i="23"/>
  <c r="L66" i="23"/>
  <c r="L65" i="23"/>
  <c r="L63" i="23"/>
  <c r="L62" i="23"/>
  <c r="L61" i="23"/>
  <c r="L56" i="23"/>
  <c r="L55" i="23"/>
  <c r="L53" i="23"/>
  <c r="L52" i="23"/>
  <c r="L51" i="23"/>
  <c r="L50" i="23"/>
  <c r="L39" i="23"/>
  <c r="L38" i="23"/>
  <c r="L37" i="23"/>
  <c r="L36" i="23"/>
  <c r="L35" i="23"/>
  <c r="L30" i="23"/>
  <c r="L28" i="23"/>
  <c r="L27" i="23"/>
  <c r="L26" i="23"/>
  <c r="L25" i="23"/>
  <c r="L21" i="23"/>
  <c r="L20" i="23"/>
  <c r="L19" i="23"/>
  <c r="I17" i="23"/>
  <c r="L17" i="23" s="1"/>
  <c r="L15" i="23"/>
  <c r="D505" i="23"/>
  <c r="D503" i="23"/>
  <c r="I35" i="77" l="1"/>
  <c r="L90" i="24"/>
  <c r="I12" i="24"/>
  <c r="I165" i="24"/>
  <c r="I13" i="24"/>
  <c r="I92" i="24"/>
  <c r="I162" i="24"/>
  <c r="I14" i="24"/>
  <c r="I159" i="24"/>
  <c r="I15" i="77" s="1"/>
  <c r="I115" i="24"/>
  <c r="L109" i="24"/>
  <c r="I161" i="24"/>
  <c r="I110" i="24"/>
  <c r="I114" i="24"/>
  <c r="I95" i="24"/>
  <c r="I272" i="23"/>
  <c r="L272" i="23" s="1"/>
  <c r="I219" i="23"/>
  <c r="I218" i="23" s="1"/>
  <c r="L22" i="24"/>
  <c r="L130" i="24"/>
  <c r="I48" i="27"/>
  <c r="I49" i="27"/>
  <c r="I153" i="23"/>
  <c r="L140" i="23"/>
  <c r="I183" i="23"/>
  <c r="L54" i="25"/>
  <c r="L70" i="25"/>
  <c r="L74" i="25"/>
  <c r="L17" i="24"/>
  <c r="L59" i="25"/>
  <c r="L18" i="25"/>
  <c r="L67" i="25"/>
  <c r="L189" i="23"/>
  <c r="L321" i="23"/>
  <c r="L107" i="23"/>
  <c r="L116" i="23"/>
  <c r="L31" i="26"/>
  <c r="I66" i="27"/>
  <c r="I211" i="23"/>
  <c r="I268" i="23"/>
  <c r="I267" i="23" s="1"/>
  <c r="I22" i="23"/>
  <c r="L22" i="23" s="1"/>
  <c r="L203" i="23"/>
  <c r="L273" i="23"/>
  <c r="I204" i="23"/>
  <c r="I228" i="23"/>
  <c r="I227" i="23" s="1"/>
  <c r="L269" i="23"/>
  <c r="I280" i="23"/>
  <c r="L280" i="23" s="1"/>
  <c r="L311" i="23"/>
  <c r="I372" i="23"/>
  <c r="L83" i="25"/>
  <c r="I62" i="27"/>
  <c r="L101" i="24"/>
  <c r="L162" i="24" l="1"/>
  <c r="I17" i="77"/>
  <c r="L165" i="24"/>
  <c r="I19" i="77"/>
  <c r="L159" i="24"/>
  <c r="L161" i="24"/>
  <c r="L219" i="23"/>
  <c r="L57" i="24"/>
  <c r="L47" i="25"/>
  <c r="L204" i="23"/>
  <c r="I197" i="23"/>
  <c r="L40" i="25"/>
  <c r="L110" i="24"/>
  <c r="L268" i="23"/>
  <c r="I120" i="23"/>
  <c r="I97" i="23" s="1"/>
  <c r="L97" i="23" s="1"/>
  <c r="I16" i="27"/>
  <c r="L95" i="24"/>
  <c r="L114" i="24"/>
  <c r="L218" i="23"/>
  <c r="L228" i="23"/>
  <c r="L227" i="23"/>
  <c r="L75" i="24"/>
  <c r="I57" i="23"/>
  <c r="I77" i="23" s="1"/>
  <c r="I266" i="23"/>
  <c r="I265" i="23" s="1"/>
  <c r="L267" i="23"/>
  <c r="I26" i="27" l="1"/>
  <c r="I217" i="23"/>
  <c r="L217" i="23" s="1"/>
  <c r="I181" i="23"/>
  <c r="I360" i="23" s="1"/>
  <c r="L120" i="23"/>
  <c r="L15" i="25"/>
  <c r="L78" i="24"/>
  <c r="L197" i="23"/>
  <c r="I196" i="23"/>
  <c r="L201" i="23"/>
  <c r="L202" i="23"/>
  <c r="L200" i="23"/>
  <c r="L199" i="23"/>
  <c r="L59" i="23"/>
  <c r="L57" i="23"/>
  <c r="I175" i="23"/>
  <c r="L266" i="23"/>
  <c r="L38" i="25"/>
  <c r="I195" i="23" l="1"/>
  <c r="I370" i="23"/>
  <c r="L262" i="23"/>
  <c r="I371" i="23"/>
  <c r="L265" i="23"/>
  <c r="I80" i="23"/>
  <c r="L77" i="23"/>
  <c r="L196" i="23"/>
  <c r="L81" i="24"/>
  <c r="I369" i="23" l="1"/>
  <c r="L195" i="23"/>
  <c r="I194" i="23"/>
  <c r="I176" i="23"/>
  <c r="L80" i="23"/>
  <c r="I83" i="23"/>
  <c r="L85" i="24"/>
  <c r="L13" i="25"/>
  <c r="L92" i="24" l="1"/>
  <c r="I448" i="23"/>
  <c r="I305" i="23"/>
  <c r="I315" i="23"/>
  <c r="I310" i="23"/>
  <c r="I304" i="23"/>
  <c r="I368" i="23"/>
  <c r="I318" i="23"/>
  <c r="I308" i="23"/>
  <c r="I319" i="23" s="1"/>
  <c r="I303" i="23"/>
  <c r="L194" i="23"/>
  <c r="I87" i="23"/>
  <c r="L83" i="23"/>
  <c r="I177" i="23"/>
  <c r="I376" i="23"/>
  <c r="L14" i="24" l="1"/>
  <c r="L310" i="23"/>
  <c r="I320" i="23"/>
  <c r="I347" i="23"/>
  <c r="L347" i="23" s="1"/>
  <c r="I401" i="23"/>
  <c r="L318" i="23"/>
  <c r="I388" i="23"/>
  <c r="L87" i="23"/>
  <c r="I94" i="23"/>
  <c r="I178" i="23"/>
  <c r="L115" i="24"/>
  <c r="I14" i="27"/>
  <c r="I361" i="23"/>
  <c r="L13" i="24" l="1"/>
  <c r="I411" i="23"/>
  <c r="I467" i="23" s="1"/>
  <c r="I468" i="23"/>
  <c r="I414" i="23"/>
  <c r="I466" i="23" s="1"/>
  <c r="I179" i="23"/>
  <c r="L94" i="23"/>
  <c r="I121" i="23"/>
  <c r="I348" i="23"/>
  <c r="L348" i="23" s="1"/>
  <c r="I323" i="23"/>
  <c r="I349" i="23" s="1"/>
  <c r="L349" i="23" s="1"/>
  <c r="I18" i="27"/>
  <c r="I459" i="23"/>
  <c r="I461" i="23" s="1"/>
  <c r="I390" i="23"/>
  <c r="I391" i="23"/>
  <c r="I14" i="23" l="1"/>
  <c r="I358" i="23"/>
  <c r="I378" i="23" s="1"/>
  <c r="I182" i="23"/>
  <c r="L121" i="23"/>
  <c r="L14" i="23" l="1"/>
  <c r="I441" i="23"/>
  <c r="I359" i="23"/>
  <c r="I382" i="23"/>
  <c r="I13" i="23"/>
  <c r="I362" i="23"/>
  <c r="I443" i="23" l="1"/>
  <c r="L13" i="23"/>
  <c r="I363" i="23"/>
  <c r="I383" i="23"/>
  <c r="I453" i="23" s="1"/>
  <c r="I379" i="23"/>
  <c r="I451" i="23"/>
  <c r="D113" i="19" l="1"/>
  <c r="D110" i="19"/>
  <c r="B105" i="19"/>
  <c r="I67" i="19"/>
  <c r="K68" i="19"/>
  <c r="K67" i="19" s="1"/>
  <c r="K63" i="19" s="1"/>
  <c r="K66" i="19"/>
  <c r="K65" i="19" s="1"/>
  <c r="K56" i="19"/>
  <c r="K54" i="19"/>
  <c r="K53" i="19"/>
  <c r="K52" i="19"/>
  <c r="K50" i="19"/>
  <c r="K49" i="19"/>
  <c r="K48" i="19"/>
  <c r="K46" i="19"/>
  <c r="K45" i="19"/>
  <c r="K43" i="19"/>
  <c r="K42" i="19"/>
  <c r="K41" i="19"/>
  <c r="D111" i="19"/>
  <c r="D109" i="19"/>
  <c r="N63" i="19" l="1"/>
  <c r="K64" i="19"/>
  <c r="K61" i="19" s="1"/>
  <c r="K37" i="19"/>
  <c r="K40" i="19"/>
  <c r="K38" i="19" s="1"/>
  <c r="K34" i="19" l="1"/>
  <c r="K35" i="19" s="1"/>
  <c r="K36" i="19"/>
  <c r="D73" i="17"/>
  <c r="D70" i="17"/>
  <c r="B67" i="17"/>
  <c r="L61" i="17"/>
  <c r="I96" i="25"/>
  <c r="L50" i="17"/>
  <c r="L49" i="17"/>
  <c r="I48" i="17"/>
  <c r="L39" i="17"/>
  <c r="L38" i="17"/>
  <c r="L37" i="17"/>
  <c r="L36" i="17"/>
  <c r="L29" i="17"/>
  <c r="L28" i="17"/>
  <c r="L22" i="17"/>
  <c r="L17" i="17"/>
  <c r="L13" i="17"/>
  <c r="I12" i="17"/>
  <c r="L12" i="17" s="1"/>
  <c r="D71" i="17"/>
  <c r="D69" i="17"/>
  <c r="K11" i="19" l="1"/>
  <c r="L48" i="17"/>
  <c r="I53" i="17"/>
  <c r="I27" i="17"/>
  <c r="I94" i="25" s="1"/>
  <c r="I65" i="17" l="1"/>
  <c r="L53" i="17"/>
  <c r="I80" i="25"/>
  <c r="L80" i="25" s="1"/>
  <c r="N10" i="19"/>
  <c r="I44" i="77"/>
  <c r="I45" i="77"/>
  <c r="I64" i="17"/>
  <c r="L64" i="17" s="1"/>
  <c r="L96" i="25"/>
  <c r="L94" i="25"/>
  <c r="L27" i="17"/>
  <c r="D74" i="17" s="1"/>
  <c r="E60" i="16"/>
  <c r="E62" i="16"/>
  <c r="B56" i="16"/>
  <c r="E61" i="16"/>
  <c r="E64" i="16"/>
  <c r="D115" i="19" l="1"/>
  <c r="D114" i="19"/>
  <c r="I65" i="26"/>
  <c r="I20" i="27"/>
  <c r="I38" i="27"/>
  <c r="E30" i="8"/>
  <c r="H30" i="8"/>
  <c r="I32" i="27" l="1"/>
  <c r="L65" i="26"/>
  <c r="D30" i="8"/>
  <c r="B30" i="8" s="1"/>
  <c r="U1" i="7"/>
  <c r="D41" i="7" s="1"/>
  <c r="U2" i="7"/>
  <c r="D40" i="7" s="1"/>
  <c r="U3" i="7"/>
  <c r="D42" i="7" s="1"/>
  <c r="D14" i="7"/>
  <c r="X14" i="7" s="1"/>
  <c r="E14" i="7"/>
  <c r="Y14" i="7" s="1"/>
  <c r="G14" i="7"/>
  <c r="G49" i="7" s="1"/>
  <c r="H14" i="7"/>
  <c r="H49" i="7" s="1"/>
  <c r="I14" i="7"/>
  <c r="I49" i="7" s="1"/>
  <c r="J14" i="7"/>
  <c r="J49" i="7" s="1"/>
  <c r="O14" i="7"/>
  <c r="AA14" i="7" s="1"/>
  <c r="Q14" i="7"/>
  <c r="AC14" i="7" s="1"/>
  <c r="S14" i="7"/>
  <c r="AB14" i="7"/>
  <c r="AD14" i="7"/>
  <c r="F16" i="7"/>
  <c r="K16" i="7" s="1"/>
  <c r="U16" i="7"/>
  <c r="AE16" i="7" s="1"/>
  <c r="X16" i="7"/>
  <c r="Y16" i="7"/>
  <c r="AC16" i="7"/>
  <c r="F17" i="7"/>
  <c r="K17" i="7" s="1"/>
  <c r="U17" i="7"/>
  <c r="AE17" i="7" s="1"/>
  <c r="X17" i="7"/>
  <c r="Y17" i="7"/>
  <c r="AC17" i="7"/>
  <c r="F19" i="7"/>
  <c r="K19" i="7" s="1"/>
  <c r="Z19" i="7" s="1"/>
  <c r="X19" i="7"/>
  <c r="Y19" i="7"/>
  <c r="AC19" i="7"/>
  <c r="AE19" i="7"/>
  <c r="F20" i="7"/>
  <c r="K20" i="7" s="1"/>
  <c r="Z20" i="7" s="1"/>
  <c r="T20" i="7"/>
  <c r="X20" i="7"/>
  <c r="Y20" i="7"/>
  <c r="AC20" i="7"/>
  <c r="F21" i="7"/>
  <c r="T21" i="7"/>
  <c r="U21" i="7" s="1"/>
  <c r="X21" i="7"/>
  <c r="Y21" i="7"/>
  <c r="AC21" i="7"/>
  <c r="F22" i="7"/>
  <c r="K22" i="7" s="1"/>
  <c r="T22" i="7"/>
  <c r="U22" i="7" s="1"/>
  <c r="X22" i="7"/>
  <c r="Y22" i="7"/>
  <c r="AC22" i="7"/>
  <c r="F23" i="7"/>
  <c r="K23" i="7" s="1"/>
  <c r="T23" i="7"/>
  <c r="X23" i="7"/>
  <c r="Y23" i="7"/>
  <c r="AC23" i="7"/>
  <c r="F24" i="7"/>
  <c r="K24" i="7" s="1"/>
  <c r="Z24" i="7" s="1"/>
  <c r="T24" i="7"/>
  <c r="U24" i="7" s="1"/>
  <c r="X24" i="7"/>
  <c r="Y24" i="7"/>
  <c r="AC24" i="7"/>
  <c r="F25" i="7"/>
  <c r="T25" i="7"/>
  <c r="U25" i="7" s="1"/>
  <c r="X25" i="7"/>
  <c r="Y25" i="7"/>
  <c r="AC25" i="7"/>
  <c r="F26" i="7"/>
  <c r="K26" i="7" s="1"/>
  <c r="T26" i="7"/>
  <c r="U26" i="7" s="1"/>
  <c r="AE26" i="7" s="1"/>
  <c r="X26" i="7"/>
  <c r="Y26" i="7"/>
  <c r="AC26" i="7"/>
  <c r="F27" i="7"/>
  <c r="K27" i="7" s="1"/>
  <c r="T27" i="7"/>
  <c r="X27" i="7"/>
  <c r="Y27" i="7"/>
  <c r="AC27" i="7"/>
  <c r="F28" i="7"/>
  <c r="K28" i="7" s="1"/>
  <c r="Z28" i="7" s="1"/>
  <c r="T28" i="7"/>
  <c r="U28" i="7" s="1"/>
  <c r="X28" i="7"/>
  <c r="Y28" i="7"/>
  <c r="AC28" i="7"/>
  <c r="F29" i="7"/>
  <c r="T29" i="7"/>
  <c r="U29" i="7" s="1"/>
  <c r="X29" i="7"/>
  <c r="Y29" i="7"/>
  <c r="AC29" i="7"/>
  <c r="F30" i="7"/>
  <c r="K30" i="7" s="1"/>
  <c r="T30" i="7"/>
  <c r="U30" i="7" s="1"/>
  <c r="AE30" i="7" s="1"/>
  <c r="X30" i="7"/>
  <c r="Y30" i="7"/>
  <c r="AC30" i="7"/>
  <c r="F31" i="7"/>
  <c r="K31" i="7" s="1"/>
  <c r="T31" i="7"/>
  <c r="X31" i="7"/>
  <c r="Y31" i="7"/>
  <c r="AC31" i="7"/>
  <c r="F32" i="7"/>
  <c r="K32" i="7" s="1"/>
  <c r="Z32" i="7" s="1"/>
  <c r="T32" i="7"/>
  <c r="U32" i="7" s="1"/>
  <c r="X32" i="7"/>
  <c r="Y32" i="7"/>
  <c r="AC32" i="7"/>
  <c r="F33" i="7"/>
  <c r="T33" i="7"/>
  <c r="U33" i="7" s="1"/>
  <c r="X33" i="7"/>
  <c r="Y33" i="7"/>
  <c r="AC33" i="7"/>
  <c r="F34" i="7"/>
  <c r="K34" i="7" s="1"/>
  <c r="T34" i="7"/>
  <c r="U34" i="7" s="1"/>
  <c r="AE34" i="7" s="1"/>
  <c r="X34" i="7"/>
  <c r="Y34" i="7"/>
  <c r="AC34" i="7"/>
  <c r="B36" i="7"/>
  <c r="D44" i="7"/>
  <c r="D49" i="7"/>
  <c r="D50" i="7"/>
  <c r="E50" i="7"/>
  <c r="G50" i="7"/>
  <c r="H50" i="7"/>
  <c r="I50" i="7"/>
  <c r="J50" i="7"/>
  <c r="Q50" i="7"/>
  <c r="S50" i="7"/>
  <c r="D51" i="7"/>
  <c r="E51" i="7"/>
  <c r="G51" i="7"/>
  <c r="H51" i="7"/>
  <c r="I51" i="7"/>
  <c r="J51" i="7"/>
  <c r="Q51" i="7"/>
  <c r="S51" i="7"/>
  <c r="D52" i="7"/>
  <c r="E52" i="7"/>
  <c r="G52" i="7"/>
  <c r="H52" i="7"/>
  <c r="I52" i="7"/>
  <c r="J52" i="7"/>
  <c r="Q52" i="7"/>
  <c r="S52" i="7"/>
  <c r="D54" i="7"/>
  <c r="E54" i="7"/>
  <c r="G54" i="7"/>
  <c r="H54" i="7"/>
  <c r="I54" i="7"/>
  <c r="J54" i="7"/>
  <c r="Q54" i="7"/>
  <c r="S54" i="7"/>
  <c r="U1" i="6"/>
  <c r="D41" i="6" s="1"/>
  <c r="U2" i="6"/>
  <c r="D40" i="6" s="1"/>
  <c r="U3" i="6"/>
  <c r="D42" i="6" s="1"/>
  <c r="D14" i="6"/>
  <c r="X14" i="6" s="1"/>
  <c r="E14" i="6"/>
  <c r="Y14" i="6" s="1"/>
  <c r="G14" i="6"/>
  <c r="H14" i="6"/>
  <c r="H49" i="6" s="1"/>
  <c r="I14" i="6"/>
  <c r="I49" i="6" s="1"/>
  <c r="J14" i="6"/>
  <c r="J49" i="6" s="1"/>
  <c r="O14" i="6"/>
  <c r="AA14" i="6" s="1"/>
  <c r="Q14" i="6"/>
  <c r="AC14" i="6" s="1"/>
  <c r="S14" i="6"/>
  <c r="AB14" i="6"/>
  <c r="AD14" i="6"/>
  <c r="F16" i="6"/>
  <c r="K16" i="6" s="1"/>
  <c r="U16" i="6"/>
  <c r="AE16" i="6" s="1"/>
  <c r="X16" i="6"/>
  <c r="Y16" i="6"/>
  <c r="AC16" i="6"/>
  <c r="F17" i="6"/>
  <c r="K17" i="6" s="1"/>
  <c r="U17" i="6"/>
  <c r="X17" i="6"/>
  <c r="Y17" i="6"/>
  <c r="AC17" i="6"/>
  <c r="F19" i="6"/>
  <c r="K19" i="6" s="1"/>
  <c r="Z19" i="6" s="1"/>
  <c r="X19" i="6"/>
  <c r="Y19" i="6"/>
  <c r="AC19" i="6"/>
  <c r="AE19" i="6"/>
  <c r="F20" i="6"/>
  <c r="K20" i="6" s="1"/>
  <c r="Z20" i="6" s="1"/>
  <c r="T20" i="6"/>
  <c r="X20" i="6"/>
  <c r="Y20" i="6"/>
  <c r="AC20" i="6"/>
  <c r="F21" i="6"/>
  <c r="K21" i="6" s="1"/>
  <c r="Z21" i="6" s="1"/>
  <c r="T21" i="6"/>
  <c r="X21" i="6"/>
  <c r="Y21" i="6"/>
  <c r="AC21" i="6"/>
  <c r="F22" i="6"/>
  <c r="T22" i="6"/>
  <c r="U22" i="6" s="1"/>
  <c r="AE22" i="6" s="1"/>
  <c r="X22" i="6"/>
  <c r="Y22" i="6"/>
  <c r="AC22" i="6"/>
  <c r="F23" i="6"/>
  <c r="T23" i="6"/>
  <c r="U23" i="6" s="1"/>
  <c r="X23" i="6"/>
  <c r="Y23" i="6"/>
  <c r="AC23" i="6"/>
  <c r="AE23" i="6"/>
  <c r="F24" i="6"/>
  <c r="K24" i="6" s="1"/>
  <c r="Z24" i="6" s="1"/>
  <c r="T24" i="6"/>
  <c r="U24" i="6" s="1"/>
  <c r="X24" i="6"/>
  <c r="Y24" i="6"/>
  <c r="AC24" i="6"/>
  <c r="F25" i="6"/>
  <c r="K25" i="6" s="1"/>
  <c r="Z25" i="6" s="1"/>
  <c r="T25" i="6"/>
  <c r="X25" i="6"/>
  <c r="Y25" i="6"/>
  <c r="AC25" i="6"/>
  <c r="F26" i="6"/>
  <c r="K26" i="6" s="1"/>
  <c r="T26" i="6"/>
  <c r="U26" i="6" s="1"/>
  <c r="AE26" i="6" s="1"/>
  <c r="X26" i="6"/>
  <c r="Y26" i="6"/>
  <c r="AC26" i="6"/>
  <c r="F27" i="6"/>
  <c r="T27" i="6"/>
  <c r="U27" i="6" s="1"/>
  <c r="X27" i="6"/>
  <c r="Y27" i="6"/>
  <c r="AC27" i="6"/>
  <c r="F28" i="6"/>
  <c r="K28" i="6" s="1"/>
  <c r="Z28" i="6" s="1"/>
  <c r="T28" i="6"/>
  <c r="U28" i="6" s="1"/>
  <c r="X28" i="6"/>
  <c r="Y28" i="6"/>
  <c r="AC28" i="6"/>
  <c r="F29" i="6"/>
  <c r="K29" i="6" s="1"/>
  <c r="T29" i="6"/>
  <c r="X29" i="6"/>
  <c r="Y29" i="6"/>
  <c r="Z29" i="6"/>
  <c r="AC29" i="6"/>
  <c r="F30" i="6"/>
  <c r="T30" i="6"/>
  <c r="U30" i="6" s="1"/>
  <c r="AE30" i="6" s="1"/>
  <c r="X30" i="6"/>
  <c r="Y30" i="6"/>
  <c r="AC30" i="6"/>
  <c r="F31" i="6"/>
  <c r="T31" i="6"/>
  <c r="U31" i="6" s="1"/>
  <c r="X31" i="6"/>
  <c r="Y31" i="6"/>
  <c r="AC31" i="6"/>
  <c r="F32" i="6"/>
  <c r="K32" i="6" s="1"/>
  <c r="Z32" i="6" s="1"/>
  <c r="T32" i="6"/>
  <c r="U32" i="6" s="1"/>
  <c r="X32" i="6"/>
  <c r="Y32" i="6"/>
  <c r="AC32" i="6"/>
  <c r="F33" i="6"/>
  <c r="K33" i="6" s="1"/>
  <c r="T33" i="6"/>
  <c r="X33" i="6"/>
  <c r="Y33" i="6"/>
  <c r="AC33" i="6"/>
  <c r="F34" i="6"/>
  <c r="K34" i="6" s="1"/>
  <c r="T34" i="6"/>
  <c r="U34" i="6" s="1"/>
  <c r="AE34" i="6" s="1"/>
  <c r="X34" i="6"/>
  <c r="Y34" i="6"/>
  <c r="AC34" i="6"/>
  <c r="B36" i="6"/>
  <c r="D44" i="6"/>
  <c r="D50" i="6"/>
  <c r="E50" i="6"/>
  <c r="G50" i="6"/>
  <c r="H50" i="6"/>
  <c r="I50" i="6"/>
  <c r="J50" i="6"/>
  <c r="Q50" i="6"/>
  <c r="S50" i="6"/>
  <c r="D51" i="6"/>
  <c r="E51" i="6"/>
  <c r="G51" i="6"/>
  <c r="H51" i="6"/>
  <c r="I51" i="6"/>
  <c r="J51" i="6"/>
  <c r="Q51" i="6"/>
  <c r="S51" i="6"/>
  <c r="D52" i="6"/>
  <c r="E52" i="6"/>
  <c r="G52" i="6"/>
  <c r="H52" i="6"/>
  <c r="I52" i="6"/>
  <c r="J52" i="6"/>
  <c r="Q52" i="6"/>
  <c r="S52" i="6"/>
  <c r="D54" i="6"/>
  <c r="E54" i="6"/>
  <c r="G54" i="6"/>
  <c r="H54" i="6"/>
  <c r="I54" i="6"/>
  <c r="J54" i="6"/>
  <c r="Q54" i="6"/>
  <c r="S54" i="6"/>
  <c r="U1" i="5"/>
  <c r="D41" i="5" s="1"/>
  <c r="U2" i="5"/>
  <c r="D40" i="5" s="1"/>
  <c r="U3" i="5"/>
  <c r="D42" i="5" s="1"/>
  <c r="D14" i="5"/>
  <c r="X14" i="5" s="1"/>
  <c r="E14" i="5"/>
  <c r="G14" i="5"/>
  <c r="G49" i="5" s="1"/>
  <c r="H14" i="5"/>
  <c r="H49" i="5" s="1"/>
  <c r="I14" i="5"/>
  <c r="I49" i="5" s="1"/>
  <c r="J14" i="5"/>
  <c r="J49" i="5" s="1"/>
  <c r="O14" i="5"/>
  <c r="AA14" i="5" s="1"/>
  <c r="Q14" i="5"/>
  <c r="S14" i="5"/>
  <c r="AB14" i="5"/>
  <c r="AD14" i="5"/>
  <c r="F16" i="5"/>
  <c r="U16" i="5"/>
  <c r="AE16" i="5" s="1"/>
  <c r="X16" i="5"/>
  <c r="Y16" i="5"/>
  <c r="AC16" i="5"/>
  <c r="F17" i="5"/>
  <c r="U17" i="5"/>
  <c r="AE17" i="5" s="1"/>
  <c r="X17" i="5"/>
  <c r="Y17" i="5"/>
  <c r="AC17" i="5"/>
  <c r="F19" i="5"/>
  <c r="X19" i="5"/>
  <c r="Y19" i="5"/>
  <c r="AC19" i="5"/>
  <c r="AE19" i="5"/>
  <c r="F20" i="5"/>
  <c r="K20" i="5" s="1"/>
  <c r="T20" i="5"/>
  <c r="U20" i="5" s="1"/>
  <c r="AE20" i="5" s="1"/>
  <c r="X20" i="5"/>
  <c r="Y20" i="5"/>
  <c r="AC20" i="5"/>
  <c r="F21" i="5"/>
  <c r="K21" i="5" s="1"/>
  <c r="Z21" i="5" s="1"/>
  <c r="T21" i="5"/>
  <c r="X21" i="5"/>
  <c r="Y21" i="5"/>
  <c r="AC21" i="5"/>
  <c r="F22" i="5"/>
  <c r="K22" i="5" s="1"/>
  <c r="T22" i="5"/>
  <c r="U22" i="5" s="1"/>
  <c r="X22" i="5"/>
  <c r="Y22" i="5"/>
  <c r="AC22" i="5"/>
  <c r="F23" i="5"/>
  <c r="K23" i="5" s="1"/>
  <c r="Z23" i="5" s="1"/>
  <c r="T23" i="5"/>
  <c r="X23" i="5"/>
  <c r="Y23" i="5"/>
  <c r="AC23" i="5"/>
  <c r="F24" i="5"/>
  <c r="K24" i="5" s="1"/>
  <c r="T24" i="5"/>
  <c r="U24" i="5" s="1"/>
  <c r="AE24" i="5" s="1"/>
  <c r="X24" i="5"/>
  <c r="Y24" i="5"/>
  <c r="AC24" i="5"/>
  <c r="F25" i="5"/>
  <c r="K25" i="5" s="1"/>
  <c r="T25" i="5"/>
  <c r="U25" i="5" s="1"/>
  <c r="X25" i="5"/>
  <c r="Y25" i="5"/>
  <c r="AC25" i="5"/>
  <c r="F26" i="5"/>
  <c r="K26" i="5" s="1"/>
  <c r="Z26" i="5" s="1"/>
  <c r="T26" i="5"/>
  <c r="U26" i="5" s="1"/>
  <c r="X26" i="5"/>
  <c r="Y26" i="5"/>
  <c r="AC26" i="5"/>
  <c r="F27" i="5"/>
  <c r="K27" i="5" s="1"/>
  <c r="T27" i="5"/>
  <c r="X27" i="5"/>
  <c r="Y27" i="5"/>
  <c r="AC27" i="5"/>
  <c r="F28" i="5"/>
  <c r="K28" i="5" s="1"/>
  <c r="T28" i="5"/>
  <c r="U28" i="5" s="1"/>
  <c r="AE28" i="5" s="1"/>
  <c r="X28" i="5"/>
  <c r="Y28" i="5"/>
  <c r="AC28" i="5"/>
  <c r="F29" i="5"/>
  <c r="K29" i="5" s="1"/>
  <c r="T29" i="5"/>
  <c r="U29" i="5" s="1"/>
  <c r="X29" i="5"/>
  <c r="Y29" i="5"/>
  <c r="AC29" i="5"/>
  <c r="F30" i="5"/>
  <c r="K30" i="5" s="1"/>
  <c r="Z30" i="5" s="1"/>
  <c r="T30" i="5"/>
  <c r="U30" i="5" s="1"/>
  <c r="X30" i="5"/>
  <c r="Y30" i="5"/>
  <c r="AC30" i="5"/>
  <c r="F31" i="5"/>
  <c r="K31" i="5" s="1"/>
  <c r="T31" i="5"/>
  <c r="X31" i="5"/>
  <c r="Y31" i="5"/>
  <c r="AC31" i="5"/>
  <c r="F32" i="5"/>
  <c r="K32" i="5" s="1"/>
  <c r="T32" i="5"/>
  <c r="U32" i="5" s="1"/>
  <c r="AE32" i="5" s="1"/>
  <c r="X32" i="5"/>
  <c r="Y32" i="5"/>
  <c r="AC32" i="5"/>
  <c r="F33" i="5"/>
  <c r="K33" i="5" s="1"/>
  <c r="Z33" i="5" s="1"/>
  <c r="T33" i="5"/>
  <c r="U33" i="5" s="1"/>
  <c r="X33" i="5"/>
  <c r="Y33" i="5"/>
  <c r="AC33" i="5"/>
  <c r="F34" i="5"/>
  <c r="K34" i="5" s="1"/>
  <c r="Z34" i="5" s="1"/>
  <c r="T34" i="5"/>
  <c r="U34" i="5" s="1"/>
  <c r="X34" i="5"/>
  <c r="Y34" i="5"/>
  <c r="AC34" i="5"/>
  <c r="B36" i="5"/>
  <c r="D44" i="5"/>
  <c r="D50" i="5"/>
  <c r="E50" i="5"/>
  <c r="G50" i="5"/>
  <c r="H50" i="5"/>
  <c r="I50" i="5"/>
  <c r="J50" i="5"/>
  <c r="Q50" i="5"/>
  <c r="S50" i="5"/>
  <c r="D51" i="5"/>
  <c r="E51" i="5"/>
  <c r="G51" i="5"/>
  <c r="H51" i="5"/>
  <c r="I51" i="5"/>
  <c r="J51" i="5"/>
  <c r="Q51" i="5"/>
  <c r="S51" i="5"/>
  <c r="D52" i="5"/>
  <c r="E52" i="5"/>
  <c r="G52" i="5"/>
  <c r="H52" i="5"/>
  <c r="I52" i="5"/>
  <c r="J52" i="5"/>
  <c r="Q52" i="5"/>
  <c r="S52" i="5"/>
  <c r="D54" i="5"/>
  <c r="E54" i="5"/>
  <c r="G54" i="5"/>
  <c r="H54" i="5"/>
  <c r="I54" i="5"/>
  <c r="J54" i="5"/>
  <c r="Q54" i="5"/>
  <c r="S54" i="5"/>
  <c r="U1" i="4"/>
  <c r="D41" i="4" s="1"/>
  <c r="U2" i="4"/>
  <c r="D40" i="4" s="1"/>
  <c r="U3" i="4"/>
  <c r="D42" i="4" s="1"/>
  <c r="D14" i="4"/>
  <c r="D49" i="4" s="1"/>
  <c r="E14" i="4"/>
  <c r="Y14" i="4" s="1"/>
  <c r="G14" i="4"/>
  <c r="G49" i="4" s="1"/>
  <c r="H14" i="4"/>
  <c r="H49" i="4" s="1"/>
  <c r="I14" i="4"/>
  <c r="I49" i="4" s="1"/>
  <c r="J14" i="4"/>
  <c r="J49" i="4" s="1"/>
  <c r="O14" i="4"/>
  <c r="AA14" i="4" s="1"/>
  <c r="Q14" i="4"/>
  <c r="AC14" i="4" s="1"/>
  <c r="S14" i="4"/>
  <c r="AB14" i="4"/>
  <c r="AD14" i="4"/>
  <c r="F16" i="4"/>
  <c r="U16" i="4"/>
  <c r="AE16" i="4" s="1"/>
  <c r="X16" i="4"/>
  <c r="Y16" i="4"/>
  <c r="AC16" i="4"/>
  <c r="F17" i="4"/>
  <c r="U17" i="4"/>
  <c r="AE17" i="4" s="1"/>
  <c r="X17" i="4"/>
  <c r="Y17" i="4"/>
  <c r="AC17" i="4"/>
  <c r="F19" i="4"/>
  <c r="K19" i="4" s="1"/>
  <c r="X19" i="4"/>
  <c r="Y19" i="4"/>
  <c r="AC19" i="4"/>
  <c r="AE19" i="4"/>
  <c r="F20" i="4"/>
  <c r="K20" i="4" s="1"/>
  <c r="T20" i="4"/>
  <c r="U20" i="4" s="1"/>
  <c r="X20" i="4"/>
  <c r="Y20" i="4"/>
  <c r="AC20" i="4"/>
  <c r="F21" i="4"/>
  <c r="K21" i="4" s="1"/>
  <c r="Z21" i="4" s="1"/>
  <c r="T21" i="4"/>
  <c r="U21" i="4" s="1"/>
  <c r="AE21" i="4" s="1"/>
  <c r="X21" i="4"/>
  <c r="Y21" i="4"/>
  <c r="AC21" i="4"/>
  <c r="F22" i="4"/>
  <c r="K22" i="4" s="1"/>
  <c r="T22" i="4"/>
  <c r="U22" i="4" s="1"/>
  <c r="X22" i="4"/>
  <c r="Y22" i="4"/>
  <c r="AC22" i="4"/>
  <c r="F23" i="4"/>
  <c r="K23" i="4" s="1"/>
  <c r="T23" i="4"/>
  <c r="X23" i="4"/>
  <c r="Y23" i="4"/>
  <c r="AC23" i="4"/>
  <c r="F24" i="4"/>
  <c r="K24" i="4" s="1"/>
  <c r="T24" i="4"/>
  <c r="U24" i="4" s="1"/>
  <c r="X24" i="4"/>
  <c r="Y24" i="4"/>
  <c r="AC24" i="4"/>
  <c r="F25" i="4"/>
  <c r="T25" i="4"/>
  <c r="U25" i="4" s="1"/>
  <c r="X25" i="4"/>
  <c r="Y25" i="4"/>
  <c r="AC25" i="4"/>
  <c r="F26" i="4"/>
  <c r="K26" i="4" s="1"/>
  <c r="T26" i="4"/>
  <c r="U26" i="4" s="1"/>
  <c r="X26" i="4"/>
  <c r="Y26" i="4"/>
  <c r="AC26" i="4"/>
  <c r="F27" i="4"/>
  <c r="K27" i="4" s="1"/>
  <c r="T27" i="4"/>
  <c r="X27" i="4"/>
  <c r="Y27" i="4"/>
  <c r="AC27" i="4"/>
  <c r="F28" i="4"/>
  <c r="K28" i="4" s="1"/>
  <c r="T28" i="4"/>
  <c r="U28" i="4" s="1"/>
  <c r="X28" i="4"/>
  <c r="Y28" i="4"/>
  <c r="AC28" i="4"/>
  <c r="F29" i="4"/>
  <c r="T29" i="4"/>
  <c r="U29" i="4" s="1"/>
  <c r="X29" i="4"/>
  <c r="Y29" i="4"/>
  <c r="AC29" i="4"/>
  <c r="F30" i="4"/>
  <c r="K30" i="4" s="1"/>
  <c r="T30" i="4"/>
  <c r="U30" i="4" s="1"/>
  <c r="X30" i="4"/>
  <c r="Y30" i="4"/>
  <c r="AC30" i="4"/>
  <c r="F31" i="4"/>
  <c r="K31" i="4" s="1"/>
  <c r="Z31" i="4" s="1"/>
  <c r="T31" i="4"/>
  <c r="X31" i="4"/>
  <c r="Y31" i="4"/>
  <c r="AC31" i="4"/>
  <c r="F32" i="4"/>
  <c r="K32" i="4" s="1"/>
  <c r="T32" i="4"/>
  <c r="X32" i="4"/>
  <c r="Y32" i="4"/>
  <c r="AC32" i="4"/>
  <c r="F33" i="4"/>
  <c r="T33" i="4"/>
  <c r="U33" i="4" s="1"/>
  <c r="X33" i="4"/>
  <c r="Y33" i="4"/>
  <c r="AC33" i="4"/>
  <c r="F34" i="4"/>
  <c r="K34" i="4" s="1"/>
  <c r="T34" i="4"/>
  <c r="U34" i="4" s="1"/>
  <c r="X34" i="4"/>
  <c r="Y34" i="4"/>
  <c r="AC34" i="4"/>
  <c r="B36" i="4"/>
  <c r="D44" i="4"/>
  <c r="D50" i="4"/>
  <c r="E50" i="4"/>
  <c r="G50" i="4"/>
  <c r="H50" i="4"/>
  <c r="I50" i="4"/>
  <c r="J50" i="4"/>
  <c r="Q50" i="4"/>
  <c r="S50" i="4"/>
  <c r="D51" i="4"/>
  <c r="E51" i="4"/>
  <c r="G51" i="4"/>
  <c r="H51" i="4"/>
  <c r="I51" i="4"/>
  <c r="J51" i="4"/>
  <c r="Q51" i="4"/>
  <c r="S51" i="4"/>
  <c r="D52" i="4"/>
  <c r="E52" i="4"/>
  <c r="G52" i="4"/>
  <c r="H52" i="4"/>
  <c r="I52" i="4"/>
  <c r="J52" i="4"/>
  <c r="Q52" i="4"/>
  <c r="S52" i="4"/>
  <c r="D54" i="4"/>
  <c r="E54" i="4"/>
  <c r="G54" i="4"/>
  <c r="H54" i="4"/>
  <c r="I54" i="4"/>
  <c r="J54" i="4"/>
  <c r="Q54" i="4"/>
  <c r="S54" i="4"/>
  <c r="U1" i="3"/>
  <c r="D41" i="3" s="1"/>
  <c r="U2" i="3"/>
  <c r="D40" i="3" s="1"/>
  <c r="U3" i="3"/>
  <c r="D42" i="3" s="1"/>
  <c r="D14" i="3"/>
  <c r="E14" i="3"/>
  <c r="E49" i="3" s="1"/>
  <c r="G14" i="3"/>
  <c r="G49" i="3" s="1"/>
  <c r="H14" i="3"/>
  <c r="H49" i="3" s="1"/>
  <c r="I14" i="3"/>
  <c r="I49" i="3" s="1"/>
  <c r="J14" i="3"/>
  <c r="J49" i="3" s="1"/>
  <c r="O14" i="3"/>
  <c r="AA14" i="3" s="1"/>
  <c r="Q14" i="3"/>
  <c r="AC14" i="3" s="1"/>
  <c r="S14" i="3"/>
  <c r="AB14" i="3"/>
  <c r="AD14" i="3"/>
  <c r="F16" i="3"/>
  <c r="K16" i="3" s="1"/>
  <c r="Z16" i="3" s="1"/>
  <c r="U16" i="3"/>
  <c r="AE16" i="3" s="1"/>
  <c r="X16" i="3"/>
  <c r="Y16" i="3"/>
  <c r="AC16" i="3"/>
  <c r="F17" i="3"/>
  <c r="K17" i="3" s="1"/>
  <c r="U17" i="3"/>
  <c r="X17" i="3"/>
  <c r="Y17" i="3"/>
  <c r="AC17" i="3"/>
  <c r="F19" i="3"/>
  <c r="K19" i="3" s="1"/>
  <c r="Z19" i="3" s="1"/>
  <c r="X19" i="3"/>
  <c r="Y19" i="3"/>
  <c r="AC19" i="3"/>
  <c r="AE19" i="3"/>
  <c r="F20" i="3"/>
  <c r="K20" i="3" s="1"/>
  <c r="Z20" i="3" s="1"/>
  <c r="T20" i="3"/>
  <c r="U20" i="3" s="1"/>
  <c r="X20" i="3"/>
  <c r="Y20" i="3"/>
  <c r="AC20" i="3"/>
  <c r="F21" i="3"/>
  <c r="K21" i="3" s="1"/>
  <c r="Z21" i="3" s="1"/>
  <c r="T21" i="3"/>
  <c r="X21" i="3"/>
  <c r="Y21" i="3"/>
  <c r="AC21" i="3"/>
  <c r="F22" i="3"/>
  <c r="K22" i="3" s="1"/>
  <c r="T22" i="3"/>
  <c r="U22" i="3" s="1"/>
  <c r="X22" i="3"/>
  <c r="Y22" i="3"/>
  <c r="AC22" i="3"/>
  <c r="F23" i="3"/>
  <c r="T23" i="3"/>
  <c r="U23" i="3" s="1"/>
  <c r="X23" i="3"/>
  <c r="Y23" i="3"/>
  <c r="AC23" i="3"/>
  <c r="F24" i="3"/>
  <c r="K24" i="3" s="1"/>
  <c r="T24" i="3"/>
  <c r="U24" i="3" s="1"/>
  <c r="X24" i="3"/>
  <c r="Y24" i="3"/>
  <c r="AC24" i="3"/>
  <c r="F25" i="3"/>
  <c r="K25" i="3" s="1"/>
  <c r="T25" i="3"/>
  <c r="X25" i="3"/>
  <c r="Y25" i="3"/>
  <c r="AC25" i="3"/>
  <c r="F26" i="3"/>
  <c r="K26" i="3" s="1"/>
  <c r="T26" i="3"/>
  <c r="U26" i="3" s="1"/>
  <c r="AE26" i="3" s="1"/>
  <c r="X26" i="3"/>
  <c r="Y26" i="3"/>
  <c r="AC26" i="3"/>
  <c r="F27" i="3"/>
  <c r="T27" i="3"/>
  <c r="U27" i="3" s="1"/>
  <c r="X27" i="3"/>
  <c r="Y27" i="3"/>
  <c r="AC27" i="3"/>
  <c r="F28" i="3"/>
  <c r="K28" i="3" s="1"/>
  <c r="Z28" i="3" s="1"/>
  <c r="T28" i="3"/>
  <c r="U28" i="3" s="1"/>
  <c r="X28" i="3"/>
  <c r="Y28" i="3"/>
  <c r="AC28" i="3"/>
  <c r="F29" i="3"/>
  <c r="K29" i="3" s="1"/>
  <c r="Z29" i="3" s="1"/>
  <c r="T29" i="3"/>
  <c r="X29" i="3"/>
  <c r="Y29" i="3"/>
  <c r="AC29" i="3"/>
  <c r="F30" i="3"/>
  <c r="K30" i="3" s="1"/>
  <c r="T30" i="3"/>
  <c r="U30" i="3" s="1"/>
  <c r="X30" i="3"/>
  <c r="Y30" i="3"/>
  <c r="AC30" i="3"/>
  <c r="F31" i="3"/>
  <c r="T31" i="3"/>
  <c r="U31" i="3" s="1"/>
  <c r="X31" i="3"/>
  <c r="Y31" i="3"/>
  <c r="AC31" i="3"/>
  <c r="F32" i="3"/>
  <c r="K32" i="3" s="1"/>
  <c r="T32" i="3"/>
  <c r="U32" i="3" s="1"/>
  <c r="X32" i="3"/>
  <c r="Y32" i="3"/>
  <c r="AC32" i="3"/>
  <c r="F33" i="3"/>
  <c r="K33" i="3" s="1"/>
  <c r="T33" i="3"/>
  <c r="X33" i="3"/>
  <c r="Y33" i="3"/>
  <c r="AC33" i="3"/>
  <c r="F34" i="3"/>
  <c r="K34" i="3" s="1"/>
  <c r="T34" i="3"/>
  <c r="U34" i="3" s="1"/>
  <c r="X34" i="3"/>
  <c r="Y34" i="3"/>
  <c r="AC34" i="3"/>
  <c r="B36" i="3"/>
  <c r="D44" i="3"/>
  <c r="D50" i="3"/>
  <c r="E50" i="3"/>
  <c r="G50" i="3"/>
  <c r="H50" i="3"/>
  <c r="I50" i="3"/>
  <c r="J50" i="3"/>
  <c r="Q50" i="3"/>
  <c r="S50" i="3"/>
  <c r="D51" i="3"/>
  <c r="E51" i="3"/>
  <c r="G51" i="3"/>
  <c r="H51" i="3"/>
  <c r="I51" i="3"/>
  <c r="J51" i="3"/>
  <c r="Q51" i="3"/>
  <c r="S51" i="3"/>
  <c r="D52" i="3"/>
  <c r="E52" i="3"/>
  <c r="G52" i="3"/>
  <c r="H52" i="3"/>
  <c r="I52" i="3"/>
  <c r="J52" i="3"/>
  <c r="Q52" i="3"/>
  <c r="S52" i="3"/>
  <c r="D54" i="3"/>
  <c r="E54" i="3"/>
  <c r="G54" i="3"/>
  <c r="H54" i="3"/>
  <c r="I54" i="3"/>
  <c r="J54" i="3"/>
  <c r="Q54" i="3"/>
  <c r="S54" i="3"/>
  <c r="U1" i="2"/>
  <c r="D41" i="2" s="1"/>
  <c r="U2" i="2"/>
  <c r="D40" i="2" s="1"/>
  <c r="U3" i="2"/>
  <c r="D42" i="2" s="1"/>
  <c r="D14" i="2"/>
  <c r="X14" i="2" s="1"/>
  <c r="E14" i="2"/>
  <c r="Y14" i="2" s="1"/>
  <c r="G14" i="2"/>
  <c r="G49" i="2" s="1"/>
  <c r="H14" i="2"/>
  <c r="H49" i="2" s="1"/>
  <c r="I14" i="2"/>
  <c r="I49" i="2" s="1"/>
  <c r="J14" i="2"/>
  <c r="O14" i="2"/>
  <c r="AA14" i="2" s="1"/>
  <c r="Q14" i="2"/>
  <c r="AC14" i="2" s="1"/>
  <c r="S14" i="2"/>
  <c r="AB14" i="2"/>
  <c r="AD14" i="2"/>
  <c r="F16" i="2"/>
  <c r="U16" i="2"/>
  <c r="AE16" i="2" s="1"/>
  <c r="X16" i="2"/>
  <c r="Y16" i="2"/>
  <c r="AC16" i="2"/>
  <c r="F17" i="2"/>
  <c r="U17" i="2"/>
  <c r="AE17" i="2" s="1"/>
  <c r="X17" i="2"/>
  <c r="Y17" i="2"/>
  <c r="AC17" i="2"/>
  <c r="F19" i="2"/>
  <c r="K19" i="2" s="1"/>
  <c r="X19" i="2"/>
  <c r="Y19" i="2"/>
  <c r="AC19" i="2"/>
  <c r="AE19" i="2"/>
  <c r="F20" i="2"/>
  <c r="K20" i="2" s="1"/>
  <c r="T20" i="2"/>
  <c r="X20" i="2"/>
  <c r="Y20" i="2"/>
  <c r="AC20" i="2"/>
  <c r="F21" i="2"/>
  <c r="T21" i="2"/>
  <c r="U21" i="2" s="1"/>
  <c r="X21" i="2"/>
  <c r="Y21" i="2"/>
  <c r="AC21" i="2"/>
  <c r="F22" i="2"/>
  <c r="K22" i="2" s="1"/>
  <c r="T22" i="2"/>
  <c r="U22" i="2" s="1"/>
  <c r="X22" i="2"/>
  <c r="Y22" i="2"/>
  <c r="AC22" i="2"/>
  <c r="F23" i="2"/>
  <c r="K23" i="2" s="1"/>
  <c r="T23" i="2"/>
  <c r="X23" i="2"/>
  <c r="Y23" i="2"/>
  <c r="AC23" i="2"/>
  <c r="F24" i="2"/>
  <c r="K24" i="2" s="1"/>
  <c r="Z24" i="2" s="1"/>
  <c r="T24" i="2"/>
  <c r="U24" i="2" s="1"/>
  <c r="X24" i="2"/>
  <c r="Y24" i="2"/>
  <c r="AC24" i="2"/>
  <c r="F25" i="2"/>
  <c r="T25" i="2"/>
  <c r="U25" i="2" s="1"/>
  <c r="X25" i="2"/>
  <c r="Y25" i="2"/>
  <c r="AC25" i="2"/>
  <c r="F26" i="2"/>
  <c r="K26" i="2" s="1"/>
  <c r="T26" i="2"/>
  <c r="U26" i="2" s="1"/>
  <c r="AE26" i="2" s="1"/>
  <c r="X26" i="2"/>
  <c r="Y26" i="2"/>
  <c r="AC26" i="2"/>
  <c r="F27" i="2"/>
  <c r="K27" i="2" s="1"/>
  <c r="T27" i="2"/>
  <c r="X27" i="2"/>
  <c r="Y27" i="2"/>
  <c r="AC27" i="2"/>
  <c r="F28" i="2"/>
  <c r="K28" i="2" s="1"/>
  <c r="Z28" i="2" s="1"/>
  <c r="T28" i="2"/>
  <c r="U28" i="2" s="1"/>
  <c r="X28" i="2"/>
  <c r="Y28" i="2"/>
  <c r="AC28" i="2"/>
  <c r="F29" i="2"/>
  <c r="T29" i="2"/>
  <c r="U29" i="2" s="1"/>
  <c r="X29" i="2"/>
  <c r="Y29" i="2"/>
  <c r="AC29" i="2"/>
  <c r="F30" i="2"/>
  <c r="K30" i="2" s="1"/>
  <c r="T30" i="2"/>
  <c r="U30" i="2" s="1"/>
  <c r="AE30" i="2" s="1"/>
  <c r="X30" i="2"/>
  <c r="Y30" i="2"/>
  <c r="AC30" i="2"/>
  <c r="F31" i="2"/>
  <c r="K31" i="2" s="1"/>
  <c r="T31" i="2"/>
  <c r="X31" i="2"/>
  <c r="Y31" i="2"/>
  <c r="AC31" i="2"/>
  <c r="F32" i="2"/>
  <c r="K32" i="2" s="1"/>
  <c r="Z32" i="2" s="1"/>
  <c r="T32" i="2"/>
  <c r="U32" i="2" s="1"/>
  <c r="X32" i="2"/>
  <c r="Y32" i="2"/>
  <c r="AC32" i="2"/>
  <c r="F33" i="2"/>
  <c r="T33" i="2"/>
  <c r="U33" i="2" s="1"/>
  <c r="X33" i="2"/>
  <c r="Y33" i="2"/>
  <c r="AC33" i="2"/>
  <c r="F34" i="2"/>
  <c r="K34" i="2" s="1"/>
  <c r="T34" i="2"/>
  <c r="U34" i="2" s="1"/>
  <c r="AE34" i="2" s="1"/>
  <c r="X34" i="2"/>
  <c r="Y34" i="2"/>
  <c r="AC34" i="2"/>
  <c r="B36" i="2"/>
  <c r="D44" i="2"/>
  <c r="J49" i="2"/>
  <c r="D50" i="2"/>
  <c r="E50" i="2"/>
  <c r="G50" i="2"/>
  <c r="H50" i="2"/>
  <c r="I50" i="2"/>
  <c r="J50" i="2"/>
  <c r="Q50" i="2"/>
  <c r="S50" i="2"/>
  <c r="D51" i="2"/>
  <c r="E51" i="2"/>
  <c r="G51" i="2"/>
  <c r="H51" i="2"/>
  <c r="I51" i="2"/>
  <c r="J51" i="2"/>
  <c r="Q51" i="2"/>
  <c r="S51" i="2"/>
  <c r="D52" i="2"/>
  <c r="E52" i="2"/>
  <c r="G52" i="2"/>
  <c r="H52" i="2"/>
  <c r="I52" i="2"/>
  <c r="J52" i="2"/>
  <c r="Q52" i="2"/>
  <c r="S52" i="2"/>
  <c r="D54" i="2"/>
  <c r="E54" i="2"/>
  <c r="G54" i="2"/>
  <c r="H54" i="2"/>
  <c r="I54" i="2"/>
  <c r="J54" i="2"/>
  <c r="Q54" i="2"/>
  <c r="S54" i="2"/>
  <c r="U1" i="1"/>
  <c r="D41" i="1" s="1"/>
  <c r="U2" i="1"/>
  <c r="D40" i="1" s="1"/>
  <c r="U3" i="1"/>
  <c r="D42" i="1" s="1"/>
  <c r="D14" i="1"/>
  <c r="X14" i="1" s="1"/>
  <c r="E14" i="1"/>
  <c r="E49" i="1" s="1"/>
  <c r="G14" i="1"/>
  <c r="G49" i="1" s="1"/>
  <c r="H14" i="1"/>
  <c r="H49" i="1" s="1"/>
  <c r="I14" i="1"/>
  <c r="I49" i="1" s="1"/>
  <c r="J14" i="1"/>
  <c r="J49" i="1" s="1"/>
  <c r="O14" i="1"/>
  <c r="AA14" i="1" s="1"/>
  <c r="Q14" i="1"/>
  <c r="AC14" i="1" s="1"/>
  <c r="S14" i="1"/>
  <c r="AB14" i="1"/>
  <c r="AD14" i="1"/>
  <c r="F16" i="1"/>
  <c r="K16" i="1" s="1"/>
  <c r="U16" i="1"/>
  <c r="AE16" i="1" s="1"/>
  <c r="X16" i="1"/>
  <c r="Y16" i="1"/>
  <c r="AC16" i="1"/>
  <c r="F17" i="1"/>
  <c r="K17" i="1" s="1"/>
  <c r="U17" i="1"/>
  <c r="AE17" i="1" s="1"/>
  <c r="X17" i="1"/>
  <c r="Y17" i="1"/>
  <c r="AC17" i="1"/>
  <c r="F19" i="1"/>
  <c r="K19" i="1" s="1"/>
  <c r="Z19" i="1" s="1"/>
  <c r="X19" i="1"/>
  <c r="Y19" i="1"/>
  <c r="AC19" i="1"/>
  <c r="AE19" i="1"/>
  <c r="F20" i="1"/>
  <c r="K20" i="1" s="1"/>
  <c r="T20" i="1"/>
  <c r="U20" i="1" s="1"/>
  <c r="X20" i="1"/>
  <c r="Y20" i="1"/>
  <c r="AC20" i="1"/>
  <c r="F21" i="1"/>
  <c r="K21" i="1" s="1"/>
  <c r="T21" i="1"/>
  <c r="U21" i="1" s="1"/>
  <c r="X21" i="1"/>
  <c r="Y21" i="1"/>
  <c r="AC21" i="1"/>
  <c r="F22" i="1"/>
  <c r="K22" i="1" s="1"/>
  <c r="T22" i="1"/>
  <c r="U22" i="1" s="1"/>
  <c r="X22" i="1"/>
  <c r="Y22" i="1"/>
  <c r="AC22" i="1"/>
  <c r="F23" i="1"/>
  <c r="K23" i="1" s="1"/>
  <c r="T23" i="1"/>
  <c r="U23" i="1" s="1"/>
  <c r="X23" i="1"/>
  <c r="Y23" i="1"/>
  <c r="AC23" i="1"/>
  <c r="F24" i="1"/>
  <c r="K24" i="1" s="1"/>
  <c r="T24" i="1"/>
  <c r="U24" i="1" s="1"/>
  <c r="AE24" i="1" s="1"/>
  <c r="X24" i="1"/>
  <c r="Y24" i="1"/>
  <c r="AC24" i="1"/>
  <c r="F25" i="1"/>
  <c r="K25" i="1" s="1"/>
  <c r="T25" i="1"/>
  <c r="U25" i="1" s="1"/>
  <c r="X25" i="1"/>
  <c r="Y25" i="1"/>
  <c r="AC25" i="1"/>
  <c r="F26" i="1"/>
  <c r="K26" i="1" s="1"/>
  <c r="T26" i="1"/>
  <c r="X26" i="1"/>
  <c r="Y26" i="1"/>
  <c r="AC26" i="1"/>
  <c r="F27" i="1"/>
  <c r="K27" i="1" s="1"/>
  <c r="T27" i="1"/>
  <c r="U27" i="1" s="1"/>
  <c r="X27" i="1"/>
  <c r="Y27" i="1"/>
  <c r="AC27" i="1"/>
  <c r="F28" i="1"/>
  <c r="K28" i="1" s="1"/>
  <c r="T28" i="1"/>
  <c r="U28" i="1" s="1"/>
  <c r="X28" i="1"/>
  <c r="Y28" i="1"/>
  <c r="AC28" i="1"/>
  <c r="F29" i="1"/>
  <c r="K29" i="1" s="1"/>
  <c r="T29" i="1"/>
  <c r="U29" i="1" s="1"/>
  <c r="X29" i="1"/>
  <c r="Y29" i="1"/>
  <c r="AC29" i="1"/>
  <c r="F30" i="1"/>
  <c r="K30" i="1" s="1"/>
  <c r="T30" i="1"/>
  <c r="U30" i="1" s="1"/>
  <c r="X30" i="1"/>
  <c r="Y30" i="1"/>
  <c r="AC30" i="1"/>
  <c r="F31" i="1"/>
  <c r="K31" i="1" s="1"/>
  <c r="T31" i="1"/>
  <c r="U31" i="1" s="1"/>
  <c r="X31" i="1"/>
  <c r="Y31" i="1"/>
  <c r="AC31" i="1"/>
  <c r="F32" i="1"/>
  <c r="K32" i="1" s="1"/>
  <c r="T32" i="1"/>
  <c r="U32" i="1" s="1"/>
  <c r="X32" i="1"/>
  <c r="Y32" i="1"/>
  <c r="AC32" i="1"/>
  <c r="F33" i="1"/>
  <c r="K33" i="1" s="1"/>
  <c r="T33" i="1"/>
  <c r="U33" i="1" s="1"/>
  <c r="X33" i="1"/>
  <c r="Y33" i="1"/>
  <c r="AC33" i="1"/>
  <c r="F34" i="1"/>
  <c r="K34" i="1" s="1"/>
  <c r="Z34" i="1" s="1"/>
  <c r="T34" i="1"/>
  <c r="X34" i="1"/>
  <c r="Y34" i="1"/>
  <c r="AC34" i="1"/>
  <c r="B36" i="1"/>
  <c r="D44" i="1"/>
  <c r="D50" i="1"/>
  <c r="E50" i="1"/>
  <c r="G50" i="1"/>
  <c r="H50" i="1"/>
  <c r="I50" i="1"/>
  <c r="J50" i="1"/>
  <c r="Q50" i="1"/>
  <c r="S50" i="1"/>
  <c r="D51" i="1"/>
  <c r="E51" i="1"/>
  <c r="G51" i="1"/>
  <c r="H51" i="1"/>
  <c r="I51" i="1"/>
  <c r="J51" i="1"/>
  <c r="Q51" i="1"/>
  <c r="S51" i="1"/>
  <c r="D52" i="1"/>
  <c r="E52" i="1"/>
  <c r="G52" i="1"/>
  <c r="H52" i="1"/>
  <c r="I52" i="1"/>
  <c r="J52" i="1"/>
  <c r="Q52" i="1"/>
  <c r="S52" i="1"/>
  <c r="D54" i="1"/>
  <c r="E54" i="1"/>
  <c r="G54" i="1"/>
  <c r="H54" i="1"/>
  <c r="I54" i="1"/>
  <c r="J54" i="1"/>
  <c r="Q54" i="1"/>
  <c r="S54" i="1"/>
  <c r="Z25" i="5" l="1"/>
  <c r="Z31" i="5"/>
  <c r="Y14" i="1"/>
  <c r="AE27" i="6"/>
  <c r="AE31" i="6"/>
  <c r="F50" i="6"/>
  <c r="T54" i="4"/>
  <c r="Z22" i="4"/>
  <c r="T54" i="6"/>
  <c r="D49" i="6"/>
  <c r="F50" i="3"/>
  <c r="AE23" i="3"/>
  <c r="F52" i="1"/>
  <c r="Z29" i="5"/>
  <c r="K52" i="1"/>
  <c r="F51" i="3"/>
  <c r="S49" i="4"/>
  <c r="T51" i="6"/>
  <c r="F14" i="6"/>
  <c r="K14" i="6" s="1"/>
  <c r="Q49" i="6" s="1"/>
  <c r="T51" i="7"/>
  <c r="AE34" i="3"/>
  <c r="F52" i="4"/>
  <c r="F51" i="5"/>
  <c r="S49" i="7"/>
  <c r="E49" i="2"/>
  <c r="U52" i="3"/>
  <c r="U32" i="4"/>
  <c r="AE32" i="4" s="1"/>
  <c r="Z16" i="7"/>
  <c r="T52" i="3"/>
  <c r="K54" i="3"/>
  <c r="T51" i="3"/>
  <c r="S49" i="3"/>
  <c r="X14" i="4"/>
  <c r="AE33" i="7"/>
  <c r="F14" i="7"/>
  <c r="K14" i="7" s="1"/>
  <c r="Q49" i="7" s="1"/>
  <c r="T54" i="3"/>
  <c r="K50" i="4"/>
  <c r="S49" i="6"/>
  <c r="T54" i="7"/>
  <c r="U51" i="7"/>
  <c r="K51" i="3"/>
  <c r="AE33" i="4"/>
  <c r="K52" i="4"/>
  <c r="AE24" i="4"/>
  <c r="Z23" i="4"/>
  <c r="F50" i="4"/>
  <c r="AE29" i="5"/>
  <c r="AE25" i="5"/>
  <c r="AE25" i="7"/>
  <c r="F14" i="3"/>
  <c r="F49" i="3" s="1"/>
  <c r="U50" i="4"/>
  <c r="D49" i="5"/>
  <c r="T14" i="6"/>
  <c r="U14" i="6" s="1"/>
  <c r="AE14" i="6" s="1"/>
  <c r="F54" i="3"/>
  <c r="D49" i="3"/>
  <c r="Y14" i="3"/>
  <c r="U51" i="4"/>
  <c r="T54" i="5"/>
  <c r="E49" i="7"/>
  <c r="U54" i="7"/>
  <c r="K52" i="7"/>
  <c r="AE31" i="3"/>
  <c r="K50" i="3"/>
  <c r="X14" i="3"/>
  <c r="T51" i="4"/>
  <c r="Z30" i="4"/>
  <c r="AE25" i="4"/>
  <c r="E49" i="6"/>
  <c r="F52" i="6"/>
  <c r="Z27" i="7"/>
  <c r="Z17" i="7"/>
  <c r="K52" i="5"/>
  <c r="K54" i="6"/>
  <c r="K51" i="6"/>
  <c r="U54" i="1"/>
  <c r="AE28" i="1"/>
  <c r="Z26" i="1"/>
  <c r="T51" i="2"/>
  <c r="D49" i="2"/>
  <c r="U54" i="2"/>
  <c r="Z31" i="2"/>
  <c r="AE29" i="2"/>
  <c r="U51" i="2"/>
  <c r="Z23" i="2"/>
  <c r="AE21" i="2"/>
  <c r="Z20" i="2"/>
  <c r="Z32" i="3"/>
  <c r="Z24" i="3"/>
  <c r="Z17" i="3"/>
  <c r="T50" i="4"/>
  <c r="Z28" i="4"/>
  <c r="U51" i="5"/>
  <c r="Z27" i="5"/>
  <c r="Z33" i="6"/>
  <c r="AE29" i="1"/>
  <c r="Z27" i="1"/>
  <c r="U51" i="1"/>
  <c r="AE20" i="1"/>
  <c r="F52" i="2"/>
  <c r="T50" i="2"/>
  <c r="K52" i="2"/>
  <c r="Z33" i="3"/>
  <c r="AE27" i="3"/>
  <c r="Z25" i="3"/>
  <c r="Z34" i="4"/>
  <c r="AE34" i="4"/>
  <c r="AE28" i="4"/>
  <c r="Z26" i="4"/>
  <c r="AE26" i="4"/>
  <c r="F54" i="5"/>
  <c r="T51" i="5"/>
  <c r="F50" i="5"/>
  <c r="AE33" i="5"/>
  <c r="T52" i="6"/>
  <c r="U52" i="6"/>
  <c r="U20" i="6"/>
  <c r="F52" i="7"/>
  <c r="T50" i="7"/>
  <c r="AE32" i="1"/>
  <c r="AE21" i="1"/>
  <c r="S49" i="1"/>
  <c r="S49" i="2"/>
  <c r="AE33" i="2"/>
  <c r="Z27" i="2"/>
  <c r="AE25" i="2"/>
  <c r="T14" i="2"/>
  <c r="U14" i="2" s="1"/>
  <c r="U49" i="2" s="1"/>
  <c r="AE30" i="3"/>
  <c r="AE28" i="3"/>
  <c r="AE22" i="3"/>
  <c r="AE20" i="3"/>
  <c r="AE29" i="4"/>
  <c r="Z27" i="4"/>
  <c r="AE20" i="4"/>
  <c r="F52" i="5"/>
  <c r="U54" i="5"/>
  <c r="F54" i="6"/>
  <c r="F51" i="6"/>
  <c r="K30" i="6"/>
  <c r="Z30" i="6" s="1"/>
  <c r="K22" i="6"/>
  <c r="Z22" i="6" s="1"/>
  <c r="Z31" i="7"/>
  <c r="AE29" i="7"/>
  <c r="Z23" i="7"/>
  <c r="AE21" i="7"/>
  <c r="T51" i="1"/>
  <c r="T54" i="1"/>
  <c r="U50" i="1"/>
  <c r="U34" i="1"/>
  <c r="AE34" i="1" s="1"/>
  <c r="AE33" i="1"/>
  <c r="AE30" i="1"/>
  <c r="U26" i="1"/>
  <c r="U52" i="1" s="1"/>
  <c r="AE25" i="1"/>
  <c r="AE22" i="1"/>
  <c r="K54" i="1"/>
  <c r="Z32" i="1"/>
  <c r="K51" i="1"/>
  <c r="Z24" i="1"/>
  <c r="D49" i="1"/>
  <c r="Z30" i="1"/>
  <c r="Z22" i="1"/>
  <c r="Z31" i="1"/>
  <c r="Z28" i="1"/>
  <c r="Z23" i="1"/>
  <c r="K50" i="1"/>
  <c r="Z20" i="1"/>
  <c r="Z17" i="1"/>
  <c r="Z16" i="1"/>
  <c r="U23" i="5"/>
  <c r="AE23" i="5" s="1"/>
  <c r="K17" i="2"/>
  <c r="Z17" i="2" s="1"/>
  <c r="U29" i="3"/>
  <c r="AE29" i="3" s="1"/>
  <c r="U21" i="3"/>
  <c r="U50" i="3" s="1"/>
  <c r="U23" i="7"/>
  <c r="AE23" i="7" s="1"/>
  <c r="T14" i="1"/>
  <c r="K27" i="3"/>
  <c r="K52" i="3" s="1"/>
  <c r="Z26" i="3"/>
  <c r="AE17" i="3"/>
  <c r="K33" i="4"/>
  <c r="K54" i="4" s="1"/>
  <c r="F54" i="4"/>
  <c r="K25" i="4"/>
  <c r="K51" i="4" s="1"/>
  <c r="F51" i="4"/>
  <c r="Z24" i="4"/>
  <c r="F54" i="1"/>
  <c r="T52" i="1"/>
  <c r="F51" i="1"/>
  <c r="T50" i="1"/>
  <c r="F50" i="1"/>
  <c r="AE31" i="1"/>
  <c r="AE27" i="1"/>
  <c r="AE23" i="1"/>
  <c r="F14" i="1"/>
  <c r="K29" i="2"/>
  <c r="Z29" i="2" s="1"/>
  <c r="K21" i="2"/>
  <c r="Z21" i="2" s="1"/>
  <c r="F50" i="2"/>
  <c r="K16" i="2"/>
  <c r="Z16" i="2" s="1"/>
  <c r="U33" i="3"/>
  <c r="U54" i="3" s="1"/>
  <c r="AE32" i="3"/>
  <c r="U25" i="3"/>
  <c r="U51" i="3" s="1"/>
  <c r="AE24" i="3"/>
  <c r="T14" i="3"/>
  <c r="U31" i="4"/>
  <c r="AE31" i="4" s="1"/>
  <c r="AE30" i="4"/>
  <c r="U23" i="4"/>
  <c r="AE23" i="4" s="1"/>
  <c r="T14" i="4"/>
  <c r="AE22" i="4"/>
  <c r="U27" i="5"/>
  <c r="U52" i="5" s="1"/>
  <c r="T52" i="5"/>
  <c r="K33" i="2"/>
  <c r="K54" i="2" s="1"/>
  <c r="F54" i="2"/>
  <c r="K25" i="2"/>
  <c r="K51" i="2" s="1"/>
  <c r="F51" i="2"/>
  <c r="U27" i="4"/>
  <c r="U52" i="4" s="1"/>
  <c r="T52" i="4"/>
  <c r="T49" i="6"/>
  <c r="G49" i="6"/>
  <c r="U31" i="7"/>
  <c r="AE31" i="7" s="1"/>
  <c r="U27" i="2"/>
  <c r="U52" i="2" s="1"/>
  <c r="T52" i="2"/>
  <c r="AE22" i="2"/>
  <c r="U50" i="2"/>
  <c r="T50" i="3"/>
  <c r="Z34" i="3"/>
  <c r="Z32" i="4"/>
  <c r="Z33" i="1"/>
  <c r="Z29" i="1"/>
  <c r="Z25" i="1"/>
  <c r="Z21" i="1"/>
  <c r="U31" i="2"/>
  <c r="AE31" i="2" s="1"/>
  <c r="U23" i="2"/>
  <c r="AE23" i="2" s="1"/>
  <c r="Z22" i="2"/>
  <c r="Z19" i="2"/>
  <c r="F14" i="2"/>
  <c r="F49" i="2" s="1"/>
  <c r="F52" i="3"/>
  <c r="K31" i="3"/>
  <c r="Z31" i="3" s="1"/>
  <c r="Z30" i="3"/>
  <c r="K23" i="3"/>
  <c r="Z22" i="3"/>
  <c r="K29" i="4"/>
  <c r="Z29" i="4" s="1"/>
  <c r="U31" i="5"/>
  <c r="AE31" i="5" s="1"/>
  <c r="K19" i="5"/>
  <c r="Z19" i="5" s="1"/>
  <c r="AC14" i="5"/>
  <c r="S49" i="5"/>
  <c r="Z34" i="2"/>
  <c r="AE32" i="2"/>
  <c r="Z30" i="2"/>
  <c r="AE28" i="2"/>
  <c r="Z26" i="2"/>
  <c r="AE24" i="2"/>
  <c r="K17" i="5"/>
  <c r="Z17" i="5" s="1"/>
  <c r="AE32" i="6"/>
  <c r="K31" i="6"/>
  <c r="Z31" i="6" s="1"/>
  <c r="U29" i="6"/>
  <c r="AE29" i="6" s="1"/>
  <c r="AE24" i="6"/>
  <c r="K23" i="6"/>
  <c r="U21" i="6"/>
  <c r="U50" i="6" s="1"/>
  <c r="F54" i="7"/>
  <c r="K33" i="7"/>
  <c r="K54" i="7" s="1"/>
  <c r="F51" i="7"/>
  <c r="K25" i="7"/>
  <c r="K51" i="7" s="1"/>
  <c r="T54" i="2"/>
  <c r="U20" i="2"/>
  <c r="AE20" i="2" s="1"/>
  <c r="Z19" i="4"/>
  <c r="K17" i="4"/>
  <c r="Z17" i="4" s="1"/>
  <c r="AE34" i="5"/>
  <c r="Z32" i="5"/>
  <c r="AE30" i="5"/>
  <c r="Z28" i="5"/>
  <c r="AE26" i="5"/>
  <c r="Z24" i="5"/>
  <c r="AE22" i="5"/>
  <c r="T14" i="5"/>
  <c r="U21" i="5"/>
  <c r="AE21" i="5" s="1"/>
  <c r="Z20" i="5"/>
  <c r="K16" i="5"/>
  <c r="Z16" i="5" s="1"/>
  <c r="Y14" i="5"/>
  <c r="E49" i="5"/>
  <c r="Z34" i="6"/>
  <c r="Z26" i="6"/>
  <c r="AE17" i="6"/>
  <c r="T52" i="7"/>
  <c r="U27" i="7"/>
  <c r="U52" i="7" s="1"/>
  <c r="U50" i="7"/>
  <c r="AE22" i="7"/>
  <c r="E49" i="4"/>
  <c r="Z20" i="4"/>
  <c r="K16" i="4"/>
  <c r="Z16" i="4" s="1"/>
  <c r="F14" i="4"/>
  <c r="T50" i="5"/>
  <c r="K54" i="5"/>
  <c r="K51" i="5"/>
  <c r="Z22" i="5"/>
  <c r="K50" i="5"/>
  <c r="F14" i="5"/>
  <c r="T50" i="6"/>
  <c r="U33" i="6"/>
  <c r="U54" i="6" s="1"/>
  <c r="AE28" i="6"/>
  <c r="K27" i="6"/>
  <c r="K52" i="6" s="1"/>
  <c r="U25" i="6"/>
  <c r="U51" i="6" s="1"/>
  <c r="AE20" i="6"/>
  <c r="K29" i="7"/>
  <c r="Z29" i="7" s="1"/>
  <c r="F50" i="7"/>
  <c r="K21" i="7"/>
  <c r="K50" i="7" s="1"/>
  <c r="T14" i="7"/>
  <c r="Z17" i="6"/>
  <c r="Z16" i="6"/>
  <c r="Z34" i="7"/>
  <c r="AE32" i="7"/>
  <c r="Z30" i="7"/>
  <c r="AE28" i="7"/>
  <c r="Z26" i="7"/>
  <c r="AE24" i="7"/>
  <c r="Z22" i="7"/>
  <c r="U20" i="7"/>
  <c r="AE20" i="7" s="1"/>
  <c r="Z14" i="6" l="1"/>
  <c r="Z14" i="7"/>
  <c r="K50" i="6"/>
  <c r="K49" i="6"/>
  <c r="T49" i="2"/>
  <c r="F49" i="7"/>
  <c r="U54" i="4"/>
  <c r="F49" i="6"/>
  <c r="AE21" i="3"/>
  <c r="K14" i="3"/>
  <c r="AE27" i="7"/>
  <c r="K50" i="2"/>
  <c r="Z25" i="4"/>
  <c r="Z27" i="6"/>
  <c r="AE21" i="6"/>
  <c r="Z21" i="7"/>
  <c r="U49" i="6"/>
  <c r="AE27" i="5"/>
  <c r="AE33" i="6"/>
  <c r="Z25" i="7"/>
  <c r="AE27" i="4"/>
  <c r="K49" i="7"/>
  <c r="Z23" i="3"/>
  <c r="Z33" i="4"/>
  <c r="Z27" i="3"/>
  <c r="AE26" i="1"/>
  <c r="Z23" i="6"/>
  <c r="U14" i="3"/>
  <c r="U49" i="3" s="1"/>
  <c r="T49" i="3"/>
  <c r="U14" i="1"/>
  <c r="U49" i="1" s="1"/>
  <c r="T49" i="1"/>
  <c r="AE25" i="6"/>
  <c r="U50" i="5"/>
  <c r="AE27" i="2"/>
  <c r="Z33" i="2"/>
  <c r="AE33" i="3"/>
  <c r="AE14" i="2"/>
  <c r="F49" i="1"/>
  <c r="K14" i="1"/>
  <c r="U14" i="5"/>
  <c r="U49" i="5" s="1"/>
  <c r="T49" i="5"/>
  <c r="U14" i="4"/>
  <c r="U49" i="4" s="1"/>
  <c r="T49" i="4"/>
  <c r="T49" i="7"/>
  <c r="U14" i="7"/>
  <c r="K14" i="5"/>
  <c r="Q49" i="5" s="1"/>
  <c r="F49" i="5"/>
  <c r="F49" i="4"/>
  <c r="K14" i="4"/>
  <c r="Q49" i="4" s="1"/>
  <c r="Z33" i="7"/>
  <c r="K14" i="2"/>
  <c r="Q49" i="2" s="1"/>
  <c r="Z25" i="2"/>
  <c r="AE25" i="3"/>
  <c r="Q49" i="3" l="1"/>
  <c r="D45" i="3" s="1"/>
  <c r="Z14" i="3"/>
  <c r="K49" i="3"/>
  <c r="D45" i="6"/>
  <c r="Z14" i="4"/>
  <c r="AE14" i="3"/>
  <c r="K49" i="4"/>
  <c r="AE14" i="4"/>
  <c r="U49" i="7"/>
  <c r="AE14" i="7"/>
  <c r="Q49" i="1"/>
  <c r="K49" i="1"/>
  <c r="AE14" i="1"/>
  <c r="Z14" i="1"/>
  <c r="K49" i="2"/>
  <c r="K49" i="5"/>
  <c r="Z14" i="2"/>
  <c r="Z14" i="5"/>
  <c r="AE14" i="5"/>
  <c r="D45" i="4" l="1"/>
  <c r="D45" i="2"/>
  <c r="D45" i="7"/>
  <c r="D45" i="5"/>
  <c r="D45" i="1"/>
  <c r="I21" i="27"/>
  <c r="L118" i="24"/>
  <c r="L143" i="24"/>
  <c r="I124" i="23"/>
  <c r="L124" i="23" s="1"/>
  <c r="L153" i="23"/>
  <c r="I184" i="23"/>
  <c r="I364" i="23" s="1"/>
  <c r="I79" i="25"/>
  <c r="I12" i="25" s="1"/>
  <c r="L315" i="23"/>
  <c r="I465" i="23"/>
  <c r="I415" i="23"/>
  <c r="D111" i="27"/>
  <c r="D110" i="27"/>
  <c r="I185" i="23"/>
  <c r="L191" i="23" s="1"/>
  <c r="I22" i="77" l="1"/>
  <c r="I23" i="77"/>
  <c r="L23" i="77" s="1"/>
  <c r="I366" i="23"/>
  <c r="I367" i="23" s="1"/>
  <c r="L12" i="24"/>
  <c r="L82" i="25"/>
  <c r="I384" i="23"/>
  <c r="D189" i="24"/>
  <c r="I393" i="23"/>
  <c r="I405" i="23"/>
  <c r="I365" i="23"/>
  <c r="I23" i="27"/>
  <c r="I12" i="23"/>
  <c r="I380" i="23" l="1"/>
  <c r="D66" i="77"/>
  <c r="D65" i="77"/>
  <c r="D188" i="24"/>
  <c r="I27" i="27"/>
  <c r="L79" i="25"/>
  <c r="I406" i="23"/>
  <c r="I445" i="23"/>
  <c r="L12" i="23"/>
  <c r="I394" i="23"/>
  <c r="I397" i="23" s="1"/>
  <c r="I398" i="23" s="1"/>
  <c r="I402" i="23"/>
  <c r="I403" i="23" s="1"/>
  <c r="I421" i="23" s="1"/>
  <c r="I429" i="23" s="1"/>
  <c r="I437" i="23" s="1"/>
  <c r="I455" i="23"/>
  <c r="I25" i="77" l="1"/>
  <c r="I29" i="77"/>
  <c r="I27" i="77"/>
  <c r="I18" i="26"/>
  <c r="I29" i="26" s="1"/>
  <c r="I14" i="26"/>
  <c r="I25" i="26"/>
  <c r="I16" i="26"/>
  <c r="I20" i="26"/>
  <c r="L12" i="25"/>
  <c r="I15" i="26"/>
  <c r="I25" i="27"/>
  <c r="I31" i="27" s="1"/>
  <c r="I28" i="26"/>
  <c r="I409" i="23"/>
  <c r="I410" i="23" s="1"/>
  <c r="I395" i="23"/>
  <c r="I399" i="23" s="1"/>
  <c r="I462" i="23" s="1"/>
  <c r="D508" i="23"/>
  <c r="D509" i="23"/>
  <c r="I407" i="23"/>
  <c r="I39" i="77" l="1"/>
  <c r="L20" i="26"/>
  <c r="D110" i="25"/>
  <c r="D111" i="25"/>
  <c r="I59" i="27"/>
  <c r="L28" i="26"/>
  <c r="I57" i="26"/>
  <c r="L57" i="26" s="1"/>
  <c r="I30" i="26"/>
  <c r="L25" i="26"/>
  <c r="I73" i="27"/>
  <c r="I17" i="27"/>
  <c r="I40" i="27"/>
  <c r="I15" i="27"/>
  <c r="I34" i="27"/>
  <c r="I41" i="27"/>
  <c r="I19" i="27"/>
  <c r="I35" i="27"/>
  <c r="I22" i="27"/>
  <c r="I51" i="27"/>
  <c r="I63" i="27"/>
  <c r="I24" i="27"/>
  <c r="I36" i="27"/>
  <c r="I42" i="27"/>
  <c r="I60" i="27" s="1"/>
  <c r="I416" i="23"/>
  <c r="I417" i="23" s="1"/>
  <c r="I419" i="23" s="1"/>
  <c r="I427" i="23" s="1"/>
  <c r="I435" i="23" s="1"/>
  <c r="I412" i="23"/>
  <c r="I413" i="23" s="1"/>
  <c r="I420" i="23" s="1"/>
  <c r="I428" i="23" s="1"/>
  <c r="I436" i="23" s="1"/>
  <c r="I61" i="27" l="1"/>
  <c r="I79" i="27" s="1"/>
  <c r="I87" i="27" s="1"/>
  <c r="I95" i="27" s="1"/>
  <c r="I52" i="27"/>
  <c r="I55" i="27" s="1"/>
  <c r="I56" i="27" s="1"/>
  <c r="I58" i="26"/>
  <c r="I33" i="26"/>
  <c r="I59" i="26" s="1"/>
  <c r="I64" i="27"/>
  <c r="I67" i="27" s="1"/>
  <c r="I68" i="27" s="1"/>
  <c r="I72" i="27"/>
  <c r="I69" i="27"/>
  <c r="I53" i="27" l="1"/>
  <c r="L58" i="26"/>
  <c r="I68" i="26"/>
  <c r="L68" i="26" s="1"/>
  <c r="I65" i="27"/>
  <c r="I74" i="27" s="1"/>
  <c r="I75" i="27" s="1"/>
  <c r="I77" i="27" s="1"/>
  <c r="I85" i="27" s="1"/>
  <c r="I93" i="27" s="1"/>
  <c r="I67" i="26"/>
  <c r="L67" i="26" s="1"/>
  <c r="L59" i="26"/>
  <c r="I57" i="27" l="1"/>
  <c r="I70" i="27"/>
  <c r="I71" i="27" s="1"/>
  <c r="I78" i="27" s="1"/>
  <c r="I86" i="27" s="1"/>
  <c r="I94" i="27" s="1"/>
  <c r="D82" i="26"/>
  <c r="D83" i="26"/>
  <c r="T21" i="39"/>
  <c r="T14" i="39" s="1"/>
  <c r="U28" i="39"/>
  <c r="W28" i="39" s="1"/>
  <c r="AL28" i="39" l="1"/>
  <c r="W21" i="39"/>
  <c r="W14" i="39" s="1"/>
  <c r="AK28" i="39"/>
  <c r="AL21" i="39"/>
  <c r="AI14" i="39"/>
  <c r="AQ14" i="39"/>
  <c r="T70" i="39"/>
  <c r="AI28" i="39"/>
  <c r="U21" i="39"/>
  <c r="U14" i="39" s="1"/>
  <c r="AT14" i="39" l="1"/>
  <c r="W70" i="39"/>
  <c r="AK14" i="39"/>
  <c r="D66" i="39"/>
  <c r="U70" i="39"/>
  <c r="AR14"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Raquel Lago</author>
  </authors>
  <commentList>
    <comment ref="B7" authorId="0" shapeId="0" xr:uid="{00000000-0006-0000-0300-000001000000}">
      <text>
        <r>
          <rPr>
            <b/>
            <sz val="9"/>
            <color indexed="81"/>
            <rFont val="Tahoma"/>
            <family val="2"/>
          </rPr>
          <t>Raquel Lago:</t>
        </r>
        <r>
          <rPr>
            <sz val="9"/>
            <color indexed="81"/>
            <rFont val="Tahoma"/>
            <family val="2"/>
          </rPr>
          <t xml:space="preserve">
THIS TABLE WILL NO LONGER BE REQUIRED IN THIS FORM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Lago Gonzalez Raquel</author>
  </authors>
  <commentList>
    <comment ref="I449" authorId="0" shapeId="0" xr:uid="{B67E1093-2A44-4F2D-A1E2-5A1FB9F7DFF2}">
      <text>
        <r>
          <rPr>
            <b/>
            <sz val="9"/>
            <color indexed="81"/>
            <rFont val="Tahoma"/>
            <family val="2"/>
          </rPr>
          <t>Lago Gonzalez Raquel:</t>
        </r>
        <r>
          <rPr>
            <sz val="9"/>
            <color indexed="81"/>
            <rFont val="Tahoma"/>
            <family val="2"/>
          </rPr>
          <t xml:space="preserve">
Before = =P_CASABISIRB_RWA.MELD!I12
Now: INPUT CELL (this way we can delete the disclaimer)
</t>
        </r>
        <r>
          <rPr>
            <b/>
            <sz val="9"/>
            <color indexed="10"/>
            <rFont val="Tahoma"/>
            <family val="2"/>
          </rPr>
          <t>DECISION ON 13.6.22: 
THIS ROW IS REPLACED BY THE BASEL ROW 4A. 
FOR MINIMUM CAPITAL REQUIREMENT WE ADD NEW ROW 4.7.37 (INPUT CELL)</t>
        </r>
      </text>
    </comment>
  </commentList>
</comments>
</file>

<file path=xl/sharedStrings.xml><?xml version="1.0" encoding="utf-8"?>
<sst xmlns="http://schemas.openxmlformats.org/spreadsheetml/2006/main" count="5979" uniqueCount="2252">
  <si>
    <t>r16 &gt;= r17</t>
  </si>
  <si>
    <t>r11 &gt;= r20</t>
  </si>
  <si>
    <t>r08 &gt;= r09</t>
  </si>
  <si>
    <t>r05 &gt;= r06</t>
  </si>
  <si>
    <t>r01 = r02 + r03</t>
  </si>
  <si>
    <t>col. 18</t>
  </si>
  <si>
    <t>col. 17</t>
  </si>
  <si>
    <t>col. 16</t>
  </si>
  <si>
    <t>col. 15</t>
  </si>
  <si>
    <t>col. 14</t>
  </si>
  <si>
    <t>col. 13</t>
  </si>
  <si>
    <t>col. 12</t>
  </si>
  <si>
    <t>col. 11</t>
  </si>
  <si>
    <t>col. 10</t>
  </si>
  <si>
    <t>col. 09</t>
  </si>
  <si>
    <t>col. 08</t>
  </si>
  <si>
    <t>col. 07</t>
  </si>
  <si>
    <t>col. 06</t>
  </si>
  <si>
    <t>col. 05</t>
  </si>
  <si>
    <t>col. 04</t>
  </si>
  <si>
    <t>col. 03</t>
  </si>
  <si>
    <t>col. 02</t>
  </si>
  <si>
    <t>col. 01</t>
  </si>
  <si>
    <t>2.01.E0</t>
  </si>
  <si>
    <t>$fid</t>
  </si>
  <si>
    <t>$eod</t>
  </si>
  <si>
    <t xml:space="preserve">        past due</t>
  </si>
  <si>
    <t>150%, of which</t>
  </si>
  <si>
    <t xml:space="preserve">        secured by real estate</t>
  </si>
  <si>
    <t xml:space="preserve">        without credit assessment </t>
  </si>
  <si>
    <t>100%, of which</t>
  </si>
  <si>
    <t>75%, of which</t>
  </si>
  <si>
    <t>50%, of which</t>
  </si>
  <si>
    <t>20%, of which</t>
  </si>
  <si>
    <t>0%</t>
  </si>
  <si>
    <t>Breakdown of total 
exposures by risk weights</t>
  </si>
  <si>
    <t>Off-balance sheet items</t>
  </si>
  <si>
    <t>On-balance sheet items</t>
  </si>
  <si>
    <t>Breakdown of total exposures by 
exposures types</t>
  </si>
  <si>
    <t>Total exposures</t>
  </si>
  <si>
    <t>col. 16 to col. 18 &gt;= 0</t>
  </si>
  <si>
    <t>col. 15 &lt;= 0</t>
  </si>
  <si>
    <t>col.14 &gt;= 0</t>
  </si>
  <si>
    <t>col. 13 &gt;= 0</t>
  </si>
  <si>
    <t>col. 12 &lt;= 0</t>
  </si>
  <si>
    <t>col. 03 to col. 11 &gt;= 0</t>
  </si>
  <si>
    <t>col. 02 &lt;= 0</t>
  </si>
  <si>
    <t>col. 01 &gt;= 0</t>
  </si>
  <si>
    <t>exposure: funded
credit protection.
Net effects of the 
comprehensive
method</t>
  </si>
  <si>
    <t>(col. 08+12+13)</t>
  </si>
  <si>
    <t>Total inflows
(+)</t>
  </si>
  <si>
    <t>Total outflows
(–)</t>
  </si>
  <si>
    <t>Financial
collateral:
simple method</t>
  </si>
  <si>
    <t>Credit derivatives</t>
  </si>
  <si>
    <t>Guarantees</t>
  </si>
  <si>
    <t>application of credit
conversion factors
on off-balance
sheet items</t>
  </si>
  <si>
    <t>(col. 01+02)</t>
  </si>
  <si>
    <t>the original 
exposure
(–)</t>
  </si>
  <si>
    <t xml:space="preserve">amount of the </t>
  </si>
  <si>
    <t>effects</t>
  </si>
  <si>
    <t>due to CRM</t>
  </si>
  <si>
    <t>protection</t>
  </si>
  <si>
    <r>
      <t>adjusted values (G</t>
    </r>
    <r>
      <rPr>
        <sz val="10"/>
        <rFont val="Arial"/>
        <family val="2"/>
      </rPr>
      <t>a</t>
    </r>
    <r>
      <rPr>
        <sz val="10"/>
        <rFont val="Arial"/>
        <family val="2"/>
      </rPr>
      <t>, P</t>
    </r>
    <r>
      <rPr>
        <sz val="10"/>
        <rFont val="Arial"/>
        <family val="2"/>
      </rPr>
      <t>a</t>
    </r>
    <r>
      <rPr>
        <sz val="10"/>
        <rFont val="Arial"/>
        <family val="2"/>
      </rPr>
      <t>)</t>
    </r>
  </si>
  <si>
    <t xml:space="preserve">provisions, post </t>
  </si>
  <si>
    <t>provisions</t>
  </si>
  <si>
    <t>associated with</t>
  </si>
  <si>
    <t>(col. 14+15)</t>
  </si>
  <si>
    <t xml:space="preserve">affecting the </t>
  </si>
  <si>
    <t>substitution</t>
  </si>
  <si>
    <t>Substitution of the exposure</t>
  </si>
  <si>
    <t>Funded credit</t>
  </si>
  <si>
    <t>Unfunded credit protection:</t>
  </si>
  <si>
    <t>ments and</t>
  </si>
  <si>
    <t xml:space="preserve">ments and </t>
  </si>
  <si>
    <t>and provisions</t>
  </si>
  <si>
    <t>factors</t>
  </si>
  <si>
    <t>exposure amount</t>
  </si>
  <si>
    <t>exposure value</t>
  </si>
  <si>
    <t>gation techniques</t>
  </si>
  <si>
    <t>after CRM</t>
  </si>
  <si>
    <t>of value adjust-</t>
  </si>
  <si>
    <t>loan commitments (off-balance sheet items) by conversion factors</t>
  </si>
  <si>
    <t>adjustments</t>
  </si>
  <si>
    <t>pre conversion</t>
  </si>
  <si>
    <t>Capital requirements (without multiplications)</t>
  </si>
  <si>
    <t>Risk weighted</t>
  </si>
  <si>
    <t>Fully adjusted</t>
  </si>
  <si>
    <t>Credit risk miti-</t>
  </si>
  <si>
    <t>Net exposure</t>
  </si>
  <si>
    <t>Credit risk mitigation (CRM) techniques with substitution effects on the exposure</t>
  </si>
  <si>
    <t>Exposure net</t>
  </si>
  <si>
    <t xml:space="preserve">Breakdown of the exposure of contingent liabilities and irrevocable </t>
  </si>
  <si>
    <t xml:space="preserve">Value </t>
  </si>
  <si>
    <t>Original exposure</t>
  </si>
  <si>
    <t>(in thousands of CHF)</t>
  </si>
  <si>
    <t>Sovereigns</t>
  </si>
  <si>
    <t>Reporting date</t>
  </si>
  <si>
    <t>BIS-Standardised approach to capital requirements</t>
  </si>
  <si>
    <t>SNB code</t>
  </si>
  <si>
    <t>Bank office / Parent company</t>
  </si>
  <si>
    <t>Form</t>
  </si>
  <si>
    <t xml:space="preserve">Credit, counterparty credit and delivery risks: </t>
  </si>
  <si>
    <t>P_CRSABIS_01</t>
  </si>
  <si>
    <t>Institutions - Banks and Securities Dealers</t>
  </si>
  <si>
    <t>P_CRSABIS_02</t>
  </si>
  <si>
    <t>Institutions - Other Institutions</t>
  </si>
  <si>
    <t>P_CRSABIS_03</t>
  </si>
  <si>
    <t>Corporates</t>
  </si>
  <si>
    <t>P_CRSABIS_04</t>
  </si>
  <si>
    <t>Retail</t>
  </si>
  <si>
    <t>P_CRSABIS_05</t>
  </si>
  <si>
    <t>Equity</t>
  </si>
  <si>
    <t>P_CRSABIS_06</t>
  </si>
  <si>
    <t>Other exposures</t>
  </si>
  <si>
    <t>P_CRSABIS_07</t>
  </si>
  <si>
    <t>Survey</t>
  </si>
  <si>
    <t>P_Basel3</t>
  </si>
  <si>
    <t>Forms</t>
  </si>
  <si>
    <t>P_CRSABIS</t>
  </si>
  <si>
    <t>XXXXXX</t>
  </si>
  <si>
    <t xml:space="preserve"> -&gt; Press Tab to move from field to field</t>
  </si>
  <si>
    <t>DD.MM.YYYY</t>
  </si>
  <si>
    <t>Irregular submission</t>
  </si>
  <si>
    <t>Please complete</t>
  </si>
  <si>
    <t>Company</t>
  </si>
  <si>
    <t>Department</t>
  </si>
  <si>
    <t>Address</t>
  </si>
  <si>
    <t>Post code/town</t>
  </si>
  <si>
    <t>Contact person</t>
  </si>
  <si>
    <t>Telephone</t>
  </si>
  <si>
    <t>E-mail</t>
  </si>
  <si>
    <t>Validation</t>
  </si>
  <si>
    <t>Errors</t>
  </si>
  <si>
    <t>Warnings</t>
  </si>
  <si>
    <t>Control</t>
  </si>
  <si>
    <r>
      <rPr>
        <b/>
        <sz val="10"/>
        <rFont val="Arial"/>
        <family val="2"/>
      </rPr>
      <t>Submission deadline:</t>
    </r>
    <r>
      <rPr>
        <sz val="10"/>
        <rFont val="Arial"/>
        <family val="2"/>
      </rPr>
      <t xml:space="preserve"> The forms, which are required on a quarterly basis, must be submitted </t>
    </r>
    <r>
      <rPr>
        <b/>
        <sz val="10"/>
        <rFont val="Arial"/>
        <family val="2"/>
      </rPr>
      <t>within</t>
    </r>
  </si>
  <si>
    <r>
      <rPr>
        <b/>
        <sz val="10"/>
        <rFont val="Arial"/>
        <family val="2"/>
      </rPr>
      <t>six weeks</t>
    </r>
    <r>
      <rPr>
        <sz val="10"/>
        <rFont val="Arial"/>
        <family val="2"/>
      </rPr>
      <t xml:space="preserve"> of the reporting date at the latest.</t>
    </r>
  </si>
  <si>
    <r>
      <rPr>
        <b/>
        <sz val="10"/>
        <color indexed="8"/>
        <rFont val="Arial"/>
        <family val="2"/>
      </rPr>
      <t>Comments:</t>
    </r>
    <r>
      <rPr>
        <sz val="10"/>
        <color theme="1"/>
        <rFont val="Arial"/>
        <family val="2"/>
      </rPr>
      <t xml:space="preserve"> Please use a separate document for your </t>
    </r>
    <r>
      <rPr>
        <sz val="10"/>
        <color indexed="8"/>
        <rFont val="Arial"/>
        <family val="2"/>
      </rPr>
      <t>comments to this delivery</t>
    </r>
    <r>
      <rPr>
        <b/>
        <sz val="10"/>
        <color indexed="8"/>
        <rFont val="Arial"/>
        <family val="2"/>
      </rPr>
      <t xml:space="preserve"> </t>
    </r>
    <r>
      <rPr>
        <sz val="10"/>
        <color theme="1"/>
        <rFont val="Arial"/>
        <family val="2"/>
      </rPr>
      <t>and include</t>
    </r>
  </si>
  <si>
    <t>Swiss National Bank</t>
  </si>
  <si>
    <t>Ordering survey documents:</t>
  </si>
  <si>
    <t>Data Collection</t>
  </si>
  <si>
    <t>Questions on surveys:</t>
  </si>
  <si>
    <t>P.O. Box</t>
  </si>
  <si>
    <t>Subject:</t>
  </si>
  <si>
    <t>8022 Zurich</t>
  </si>
  <si>
    <t>Tel: +41 58 631 00 00</t>
  </si>
  <si>
    <t>Swiss Financial Market Supervisory Authority FINMA</t>
  </si>
  <si>
    <t>www.finma.ch</t>
  </si>
  <si>
    <t>Laupenstrasse 27</t>
  </si>
  <si>
    <t>info@finma.ch</t>
  </si>
  <si>
    <t>CH-3003 Bern</t>
  </si>
  <si>
    <t>Tel: +41 31 327 91 00</t>
  </si>
  <si>
    <t>1.01.E0</t>
  </si>
  <si>
    <t>of which: having no synthetic risk indicator value</t>
  </si>
  <si>
    <t xml:space="preserve">of which: having synthetic risk indicator value of 7 </t>
  </si>
  <si>
    <t xml:space="preserve">of which: having synthetic risk indicator value of 6 </t>
  </si>
  <si>
    <t>of which: having synthetic risk indicator value of 5</t>
  </si>
  <si>
    <t>of which: having synthetic risk indicator value of 1 to 4</t>
  </si>
  <si>
    <r>
      <rPr>
        <strike/>
        <sz val="10"/>
        <color rgb="FFFF0000"/>
        <rFont val="Arial"/>
        <family val="2"/>
      </rPr>
      <t>400%</t>
    </r>
    <r>
      <rPr>
        <sz val="10"/>
        <color rgb="FFFF0000"/>
        <rFont val="Arial"/>
        <family val="2"/>
      </rPr>
      <t>500%</t>
    </r>
    <r>
      <rPr>
        <sz val="10"/>
        <rFont val="Arial"/>
        <family val="2"/>
      </rPr>
      <t xml:space="preserve"> risk weight</t>
    </r>
  </si>
  <si>
    <t>of which: having synthetic risk indicator value of 4</t>
  </si>
  <si>
    <t>of which: having synthetic risk indicator value of 3</t>
  </si>
  <si>
    <t>of which: having synthetic risk indicator value of 2</t>
  </si>
  <si>
    <t>of which: having synthetic risk indicator value of 1</t>
  </si>
  <si>
    <r>
      <rPr>
        <strike/>
        <sz val="10"/>
        <color rgb="FFFF0000"/>
        <rFont val="Arial"/>
        <family val="2"/>
      </rPr>
      <t>250%</t>
    </r>
    <r>
      <rPr>
        <sz val="10"/>
        <color rgb="FFFF0000"/>
        <rFont val="Arial"/>
        <family val="2"/>
      </rPr>
      <t xml:space="preserve">300% </t>
    </r>
    <r>
      <rPr>
        <sz val="10"/>
        <rFont val="Arial"/>
        <family val="2"/>
      </rPr>
      <t>risk weight</t>
    </r>
  </si>
  <si>
    <t>Simplified Approach</t>
  </si>
  <si>
    <t>Risk weight is &lt;=50%</t>
  </si>
  <si>
    <t>Risk weight is &gt;50% and &lt;=100%</t>
  </si>
  <si>
    <t>Risk weight is &gt;100% and &lt;=250%</t>
  </si>
  <si>
    <t>Risk weight is &gt;250% and &lt;=625%</t>
  </si>
  <si>
    <t>Risk weight is &gt;625% and &lt;=1250%</t>
  </si>
  <si>
    <t>of which: funds managed  by the bank itself</t>
  </si>
  <si>
    <r>
      <t xml:space="preserve">all funds under simplified approach with </t>
    </r>
    <r>
      <rPr>
        <strike/>
        <sz val="10"/>
        <color rgb="FFFF0000"/>
        <rFont val="Arial"/>
        <family val="2"/>
      </rPr>
      <t>400%</t>
    </r>
    <r>
      <rPr>
        <sz val="10"/>
        <color rgb="FFFF0000"/>
        <rFont val="Arial"/>
        <family val="2"/>
      </rPr>
      <t>500%</t>
    </r>
  </si>
  <si>
    <t>of which: funds managed by the bank itself</t>
  </si>
  <si>
    <r>
      <t xml:space="preserve">all funds under simplified approach with </t>
    </r>
    <r>
      <rPr>
        <strike/>
        <sz val="10"/>
        <color rgb="FFFF0000"/>
        <rFont val="Arial"/>
        <family val="2"/>
      </rPr>
      <t>250%</t>
    </r>
    <r>
      <rPr>
        <sz val="10"/>
        <color rgb="FFFF0000"/>
        <rFont val="Arial"/>
        <family val="2"/>
      </rPr>
      <t>300%</t>
    </r>
  </si>
  <si>
    <t>of which: funds under FBA managed by the bank itself</t>
  </si>
  <si>
    <t>all funds under FBA</t>
  </si>
  <si>
    <t>Fallback Approach (FBA, 1250%)</t>
  </si>
  <si>
    <t>of which: funds under MBA managed by the bank itself</t>
  </si>
  <si>
    <t>all funds under MBA</t>
  </si>
  <si>
    <t>Mandate based Approach (MBA)</t>
  </si>
  <si>
    <t>of which: funds under LTA managed by the bank itself</t>
  </si>
  <si>
    <t>all funds under LTA</t>
  </si>
  <si>
    <t>Look through Approach (LTA)</t>
  </si>
  <si>
    <t>Risk weighted exposure amount</t>
  </si>
  <si>
    <t>Total (net) exposure before risk weighting</t>
  </si>
  <si>
    <t>Risk weighted exposure amount for CCR of SFT and derivatives (incl. CVA)</t>
  </si>
  <si>
    <t>Credit equivalent for CCR of derivatives</t>
  </si>
  <si>
    <t>Credit equivalent for CCR of SFT</t>
  </si>
  <si>
    <t>Number of funds</t>
  </si>
  <si>
    <t>Equity investments in funds</t>
  </si>
  <si>
    <t>P_CRFUNDS</t>
  </si>
  <si>
    <t>P_LERA_BIS</t>
  </si>
  <si>
    <t>Leverage Ratio and Calculation of Total Exposure 
for the Leverage Ratio</t>
  </si>
  <si>
    <t>Label</t>
  </si>
  <si>
    <t>Amount</t>
  </si>
  <si>
    <t>Checks:</t>
  </si>
  <si>
    <t>Leverage ratio exposure (comparison with accounting assets)</t>
  </si>
  <si>
    <t>1.1</t>
  </si>
  <si>
    <t>(+) Total consolidated assets as per published financial statements</t>
  </si>
  <si>
    <t>1.2</t>
  </si>
  <si>
    <t>1.3</t>
  </si>
  <si>
    <t>1.4</t>
  </si>
  <si>
    <t>(+/-) Adjustments for derivatives</t>
  </si>
  <si>
    <t>(+/-) Adjustments for SFTs</t>
  </si>
  <si>
    <t>(+) Adjustments for off-balance sheet items</t>
  </si>
  <si>
    <t>(+/-) Other adjustments</t>
  </si>
  <si>
    <t xml:space="preserve">Leverage ratio exposure </t>
  </si>
  <si>
    <t>Leverage ratio exposure, average based (SIB banks only)</t>
  </si>
  <si>
    <t>On-balance sheet exposures</t>
  </si>
  <si>
    <t>2.1.1</t>
  </si>
  <si>
    <t>(+) On-balance sheet items excluding derivatives and SFTs</t>
  </si>
  <si>
    <t>2.1.2</t>
  </si>
  <si>
    <t>2.2</t>
  </si>
  <si>
    <t>Derivative Exposures</t>
  </si>
  <si>
    <t>2.2.1</t>
  </si>
  <si>
    <t>(+) Replacement cost associated with all derivatives transactions (where applicable net of eligible cash variation margin and/or bilateral netting) (NB: multiplied by alpha scalar under SA-CCR)</t>
  </si>
  <si>
    <t>2.2.2</t>
  </si>
  <si>
    <t>(+) Add-on amounts / PFE associated with all derivatives transactions 
(NB: multiplied by alpha scalar under SA-CCR)</t>
  </si>
  <si>
    <t>2.2.3</t>
  </si>
  <si>
    <t xml:space="preserve">(+) Gross-up for derivatives collateral provided where deducted from the balance sheet </t>
  </si>
  <si>
    <t>2.2.4</t>
  </si>
  <si>
    <t>(-) Deductions of receivables assets for cash variation margin provided</t>
  </si>
  <si>
    <t>(-) Exempted CCP leg of client-cleared trade exposures</t>
  </si>
  <si>
    <t>(+) Adjusted effective notional amount of all written credit derivatives</t>
  </si>
  <si>
    <t>(-) Adjusted effective notional offsets and add-on deductions for written credit derivatives</t>
  </si>
  <si>
    <t>2.3.1</t>
  </si>
  <si>
    <t>(+) Gross SFT assets</t>
  </si>
  <si>
    <t>2.3.2</t>
  </si>
  <si>
    <t>(-) Netted amounts of cash payables and cash receivables of gross SFT assets</t>
  </si>
  <si>
    <t>2.3.3</t>
  </si>
  <si>
    <t>(+) Counterparty credit risk exposure for SFT assets</t>
  </si>
  <si>
    <t>2.3.4</t>
  </si>
  <si>
    <t>(+) Agent transaction exposures</t>
  </si>
  <si>
    <r>
      <t xml:space="preserve">Securities financing transaction exposures, based on average </t>
    </r>
    <r>
      <rPr>
        <b/>
        <sz val="10"/>
        <color rgb="FFFF0000"/>
        <rFont val="Arial"/>
        <family val="2"/>
      </rPr>
      <t>daily / monthly</t>
    </r>
    <r>
      <rPr>
        <b/>
        <sz val="10"/>
        <rFont val="Arial"/>
        <family val="2"/>
      </rPr>
      <t xml:space="preserve"> gross SFT assets (SIB banks only)</t>
    </r>
  </si>
  <si>
    <t>2.4</t>
  </si>
  <si>
    <t>Other off-balance sheet exposures</t>
  </si>
  <si>
    <t>2.4.1</t>
  </si>
  <si>
    <t>(+) Off-balance sheet exposure at gross notional amount before any adjustment for credit conversion factors</t>
  </si>
  <si>
    <t>2.4.2</t>
  </si>
  <si>
    <t>(-) Adjustments for conversion to credit equivalent amounts</t>
  </si>
  <si>
    <t>2.5</t>
  </si>
  <si>
    <t>xxx</t>
  </si>
  <si>
    <t>Tier 1 capital</t>
  </si>
  <si>
    <t>4 a)</t>
  </si>
  <si>
    <t>Basel III leverage ratio</t>
  </si>
  <si>
    <t>4 b)</t>
  </si>
  <si>
    <t>Basel III leverage ratio, average based (SIB banks only)</t>
  </si>
  <si>
    <t>3.00.E0</t>
  </si>
  <si>
    <t>2.00.E1</t>
  </si>
  <si>
    <t>Including event risks according to margin no. 282 of the Market Risks Circular - banks.</t>
  </si>
  <si>
    <t xml:space="preserve">(4) </t>
  </si>
  <si>
    <t>or stock indices (applies to rows 40, 41, 46, 47).</t>
  </si>
  <si>
    <t>De-minimis institutions do not have to determine capital requirements for the gamma and the vega risk of options on interest rate instruments and of options on stocks</t>
  </si>
  <si>
    <t>The delta-equivalents are included in the previous sections on market risk of currencies, gold and commodities, specific risk and general market risk (rows 01 to 33).</t>
  </si>
  <si>
    <t xml:space="preserve">(3) </t>
  </si>
  <si>
    <t>financial instruments in the trading book.</t>
  </si>
  <si>
    <t>Sum of the absolute market values of all long and short positions (by issuer) in the underlying instruments plus the (delta-weighted) contract volumes of all derivative</t>
  </si>
  <si>
    <t xml:space="preserve">(2) </t>
  </si>
  <si>
    <t>Relevant is the larger of the absolute values of (i) the sum of the net long positions on the one hand and (ii) the sum of the net short positions on the other hand.</t>
  </si>
  <si>
    <t xml:space="preserve">(1) </t>
  </si>
  <si>
    <t>(the sum of the higher amounts of following rows: 66 and 74, 83 and 84, 85 and 86, 87 and 88 and 95)</t>
  </si>
  <si>
    <t>Total requirements according to the model-based approach</t>
  </si>
  <si>
    <t xml:space="preserve">    8% of the net short exposures</t>
  </si>
  <si>
    <t xml:space="preserve">    8% of the net long exposures</t>
  </si>
  <si>
    <t>8% of the standardized specific risk charge</t>
  </si>
  <si>
    <t>Actual CRM</t>
  </si>
  <si>
    <t>Average CRM</t>
  </si>
  <si>
    <t>CRM</t>
  </si>
  <si>
    <t>Actual IRC</t>
  </si>
  <si>
    <t>Average IRC</t>
  </si>
  <si>
    <t>IRC</t>
  </si>
  <si>
    <t>Total actual stress based VaR</t>
  </si>
  <si>
    <t>Total average stress based VaR taking the institution's multiplication factor into account</t>
  </si>
  <si>
    <t>Stress based VaR</t>
  </si>
  <si>
    <t>Total</t>
  </si>
  <si>
    <t>Total value-at-risk</t>
  </si>
  <si>
    <t>Precious metal and commodity risks</t>
  </si>
  <si>
    <t>Foreign exchange risks</t>
  </si>
  <si>
    <t>Equity risks (4)</t>
  </si>
  <si>
    <t>Interest rate risks</t>
  </si>
  <si>
    <t>Previous day’s VaR</t>
  </si>
  <si>
    <t>Requirements taking the institution’s multiplication factor into account</t>
  </si>
  <si>
    <t>Average VaR</t>
  </si>
  <si>
    <t>according to art. 88 Capital Ordinance</t>
  </si>
  <si>
    <t>to the model-based approach</t>
  </si>
  <si>
    <t>Requirements for market risks according</t>
  </si>
  <si>
    <t>Options on commodities</t>
  </si>
  <si>
    <t>Options on gold</t>
  </si>
  <si>
    <t>Options on currencies</t>
  </si>
  <si>
    <t>Options on stocks or stock indices</t>
  </si>
  <si>
    <t>Options on interest rate instruments</t>
  </si>
  <si>
    <t>according to the scenario analysis approach</t>
  </si>
  <si>
    <t>Requirements for options</t>
  </si>
  <si>
    <t>Vega risk</t>
  </si>
  <si>
    <t>Gamma risk</t>
  </si>
  <si>
    <t>according to the delta-plus method (3)</t>
  </si>
  <si>
    <t>Additional requirements for options</t>
  </si>
  <si>
    <t>according to the simplified approach</t>
  </si>
  <si>
    <t>Sum of the net positions by national market</t>
  </si>
  <si>
    <t>of equity</t>
  </si>
  <si>
    <t>General market risk</t>
  </si>
  <si>
    <t>Sum of the net positions by issuer</t>
  </si>
  <si>
    <t>Specific risk</t>
  </si>
  <si>
    <t>Value according to the duration method</t>
  </si>
  <si>
    <t>Value according to the maturity method</t>
  </si>
  <si>
    <t>of interest rate instruments</t>
  </si>
  <si>
    <t xml:space="preserve">    for net short exposures</t>
  </si>
  <si>
    <t xml:space="preserve">    for net long exposures</t>
  </si>
  <si>
    <t>Correlation Trading</t>
  </si>
  <si>
    <t>Non Correlation Trading</t>
  </si>
  <si>
    <t>Securitisation Positions</t>
  </si>
  <si>
    <t>Unrated</t>
  </si>
  <si>
    <t>Rating class 6 or 7</t>
  </si>
  <si>
    <t>Rating class 5</t>
  </si>
  <si>
    <t>Other interest rate instruments</t>
  </si>
  <si>
    <t>Residual term to final maturity &gt; 24 months</t>
  </si>
  <si>
    <t>Residual term to final maturity &gt; 6 months and ≤ 24 months</t>
  </si>
  <si>
    <t>Residual term to final maturity ≤ 6 months</t>
  </si>
  <si>
    <t>Qualified interest rate instruments according to art. 4 let. e Capital Ordinance</t>
  </si>
  <si>
    <t>Rating class 7</t>
  </si>
  <si>
    <t>Rating class 5 or 6</t>
  </si>
  <si>
    <t>Rating class 3 or 4</t>
  </si>
  <si>
    <t>0.000</t>
  </si>
  <si>
    <t>Rating class 1 or 2</t>
  </si>
  <si>
    <t>Government and central bank interest rate instruments</t>
  </si>
  <si>
    <t>Non-Securitisation Positions</t>
  </si>
  <si>
    <t>Trading book in % of the total of balance and off-balance sheet</t>
  </si>
  <si>
    <t>Trading book (art. 5 Capital Ordinance) (2)</t>
  </si>
  <si>
    <t>Total of balance and off-balance sheet</t>
  </si>
  <si>
    <t>Contingent liabilities, irrevocable credit lines granted, contingent liabilities for calls and margin liabilities,
commitment credits and the contract volume of all open derivative financial instruments</t>
  </si>
  <si>
    <t>Total of last quarter’s balance sheet</t>
  </si>
  <si>
    <t>the sum of all balance sheet and off-balance sheet positions according to position 08.</t>
  </si>
  <si>
    <t>if during the relevant period the trading book exceeded at least once either CHF 30 millions or 6% of</t>
  </si>
  <si>
    <t>The subsequent sections on the standardised approach need only to be filled in</t>
  </si>
  <si>
    <t>De-minimis test</t>
  </si>
  <si>
    <t>Commodities according to the simplified approach</t>
  </si>
  <si>
    <t>Commodities according to the maturity ladder approach</t>
  </si>
  <si>
    <t>Gold (net position)</t>
  </si>
  <si>
    <t>Currencies (1)</t>
  </si>
  <si>
    <t>Market risk of currencies, gold and commodities</t>
  </si>
  <si>
    <t>pursuant to arts. 84-87 Capital Ordinance</t>
  </si>
  <si>
    <t>Minimum requirements for market risks according to the standardised approach</t>
  </si>
  <si>
    <t>r01 col.01 to r75 col.03 &gt;= 0</t>
  </si>
  <si>
    <t>Requirement 
factor</t>
  </si>
  <si>
    <t>Position</t>
  </si>
  <si>
    <t>P_MKR_BIS</t>
  </si>
  <si>
    <t>Market risk</t>
  </si>
  <si>
    <t>P_CASABISIRB</t>
  </si>
  <si>
    <t>Capital sheet</t>
  </si>
  <si>
    <t>new row</t>
  </si>
  <si>
    <t>not processed</t>
  </si>
  <si>
    <t>(in thousands of CHF or %)</t>
  </si>
  <si>
    <t>must not be delivered in xml</t>
  </si>
  <si>
    <t>Amount (1)</t>
  </si>
  <si>
    <t>Check</t>
  </si>
  <si>
    <t xml:space="preserve">1
  </t>
  </si>
  <si>
    <t>Total eligible capital
(arts. 21-40 Capital Ordinance)</t>
  </si>
  <si>
    <t xml:space="preserve">1.1
   </t>
  </si>
  <si>
    <t>Eligible adjusted Tier 1 capital
(arts. 21-29 Capital Ordinance, arts. 31-40 Capital Ordinance)</t>
  </si>
  <si>
    <t xml:space="preserve">1.1.1
  </t>
  </si>
  <si>
    <t>Eligible adjusted common equity Tier 1 capital (CET1)
(arts. 21-26 Capital Ordinance, arts. 31-40 Capital Ordinance)</t>
  </si>
  <si>
    <t>1.1.1.1</t>
  </si>
  <si>
    <t xml:space="preserve">   (+) Equity according to financial statements (accounting scope of consolidation)</t>
  </si>
  <si>
    <t xml:space="preserve">1.1.1.2
  </t>
  </si>
  <si>
    <t xml:space="preserve">   (+/–) Impact of changes in the scope of consolidation
   (art. 7 Capital Ordinance)</t>
  </si>
  <si>
    <t>1.1.1.3</t>
  </si>
  <si>
    <t xml:space="preserve">   = Equity relating to regulatory scope of consolidation</t>
  </si>
  <si>
    <t>1.1.1.4</t>
  </si>
  <si>
    <t xml:space="preserve">   (+/–) Adjustment to own shares held in and off the trading book and contracts on own shares that are to be posted in equity</t>
  </si>
  <si>
    <t xml:space="preserve">   (–) Equity items which are not eligible (fully or partially) as CET1
   (art. 20 par. 2 Capital Ordinance)</t>
  </si>
  <si>
    <t xml:space="preserve">   (–) All minority interests</t>
  </si>
  <si>
    <t xml:space="preserve">   (–) Future expected dividends </t>
  </si>
  <si>
    <t>1.1.1.8</t>
  </si>
  <si>
    <t xml:space="preserve">   = Equity after first preliminary adjustments, without minority interests</t>
  </si>
  <si>
    <t xml:space="preserve">      Of which:</t>
  </si>
  <si>
    <t xml:space="preserve">1.1.1.8.1
  </t>
  </si>
  <si>
    <t xml:space="preserve">      Paid up capital, issued by the parent company
      (art. 21 par. 1 let. a Capital Ordinance, arts. 22-26 Capital Ordinance)</t>
  </si>
  <si>
    <t xml:space="preserve">1.1.1.8.2
  </t>
  </si>
  <si>
    <t xml:space="preserve">      Assets of partners with unlimited liability, which are eligible as CET1
      (art. 21 par. 1 let. a Capital Ordinance, art. 25 Capital Ordinance, art. 22 par. 2 let. a Stock Exchanges and Securities Trading Ordinance)</t>
  </si>
  <si>
    <t xml:space="preserve">1.1.1.8.3
  </t>
  </si>
  <si>
    <t xml:space="preserve">      Bank guarantee or cash amount blocked for securities dealers
      (art. 22 par. 4 and 5 Stock Exchanges and Securities Trading Ordinance, subject to approval of the supervisory authority)</t>
  </si>
  <si>
    <t>1.1.1.8.4</t>
  </si>
  <si>
    <t xml:space="preserve">      Investment shares in cooperative entities</t>
  </si>
  <si>
    <t xml:space="preserve">1.1.1.8.5
  </t>
  </si>
  <si>
    <t xml:space="preserve">      Share premium reserves and retained earnings reserves
      (art. 21 par. 1 let. b Capital Ordinance)</t>
  </si>
  <si>
    <t xml:space="preserve">1.1.1.8.6
  </t>
  </si>
  <si>
    <t xml:space="preserve">      Foreign exchange reserves (+/–)
      (art. 21 par. 1 let. b Capital Ordinance)</t>
  </si>
  <si>
    <t xml:space="preserve">1.1.1.8.7
</t>
  </si>
  <si>
    <t xml:space="preserve">      Reserves for general banking risks
      (art. 21 par. 1 let. c Capital Ordinance)</t>
  </si>
  <si>
    <t xml:space="preserve">1.1.1.8.8
  </t>
  </si>
  <si>
    <t xml:space="preserve">      Other reserves / accumulated other comprehensive income (+/–)
      (art. 21 par. 1 let. b Capital Ordinance)</t>
  </si>
  <si>
    <t xml:space="preserve">1.1.1.8.9
  </t>
  </si>
  <si>
    <t xml:space="preserve">      Profit (+) or loss (–) carried forward / group profit or loss
      (art. 21 par. 1 let. d Capital Ordinance, art. 32 let. a Capital Ordinance)</t>
  </si>
  <si>
    <t xml:space="preserve">1.1.1.8.10
  </t>
  </si>
  <si>
    <t xml:space="preserve">      Interim profit (+) or loss (–) for the current financial year
      (art. 21 par. 1 let. e Capital Ordinance, art. 32 let. a Capital Ordinance)</t>
  </si>
  <si>
    <t>1.1.1.9</t>
  </si>
  <si>
    <t xml:space="preserve">   Second preliminary adjustments</t>
  </si>
  <si>
    <t xml:space="preserve">1.1.1.9.1
  </t>
  </si>
  <si>
    <t xml:space="preserve">      (+) Instruments issued by banking subsidiaries, recognised in CET1, fully eligible
      (art. 21 par. 2 Capital Ordinance)</t>
  </si>
  <si>
    <t xml:space="preserve">1.1.1.9.2
  </t>
  </si>
  <si>
    <t xml:space="preserve">      (+) Instruments issued by banking subsidiaries, recognised in CET1, partially eligible
      (art. 21 par. 2 Capital Ordinance)</t>
  </si>
  <si>
    <t xml:space="preserve">1.1.1.9.3
  </t>
  </si>
  <si>
    <t xml:space="preserve">      (+) Minority interests issued by banking subsidiaries, which exceed the capital needs of the subsidiary but can be taken into account 
      when applying transitional arrangements (phase-out)</t>
  </si>
  <si>
    <t xml:space="preserve">1.1.1.9.4
  </t>
  </si>
  <si>
    <t xml:space="preserve">      (+) Minority interests issued by non-banking subsidiaries, which can be taken into account when applying transitional arrangements
      (phase-out) </t>
  </si>
  <si>
    <t xml:space="preserve">1.1.1.9.5
  </t>
  </si>
  <si>
    <t xml:space="preserve">      (–) Unfunded valuation adjustments or provisions required for the current financial year
      (art. 32 let. b Capital Ordinance)</t>
  </si>
  <si>
    <t xml:space="preserve">1.1.1.9.6
  </t>
  </si>
  <si>
    <t xml:space="preserve">      (–) Deferred tax liabilities on reserves for general banking risks (if any)
      (art. 21 par. 1 let. b Capital Ordinance)</t>
  </si>
  <si>
    <t xml:space="preserve">1.1.1.9.7
  </t>
  </si>
  <si>
    <t xml:space="preserve">      Adjustments for banks using recognised international accounting standards
      (art. 31 par. 3 Capital Ordinance,  FINMA-Circ. 13/1)</t>
  </si>
  <si>
    <t>1.1.1.9.7.1</t>
  </si>
  <si>
    <t xml:space="preserve">         (–) Reversal of positive valuation differences in FVTOCI equities</t>
  </si>
  <si>
    <t>1.1.1.9.7.2</t>
  </si>
  <si>
    <t xml:space="preserve">         (–) Reversal of positive valuation differences in FVTOCI debt securities</t>
  </si>
  <si>
    <t>1.1.1.9.7.3</t>
  </si>
  <si>
    <t xml:space="preserve">         (–) Reversal of positive valuation differences in other FVTOCI assets</t>
  </si>
  <si>
    <t>1.1.1.9.7.4</t>
  </si>
  <si>
    <t xml:space="preserve">         (+) Elimination of losses in connection with own credit risk, in the context of the use of the fair value option, gross amount</t>
  </si>
  <si>
    <t>1.1.1.9.7.6</t>
  </si>
  <si>
    <t xml:space="preserve">         (–) Elimination of gains in connection with own credit risk, in the context of the use of the fair value option, gross amount</t>
  </si>
  <si>
    <t>1.1.1.9.7.8</t>
  </si>
  <si>
    <t xml:space="preserve">         (+) Elimination of other losses in connection with the use of the fair value option, gross amount</t>
  </si>
  <si>
    <t>1.1.1.9.7.10</t>
  </si>
  <si>
    <t xml:space="preserve">         (–) Elimination of other gains in connection with the use of the fair value option, gross amount</t>
  </si>
  <si>
    <t>1.1.1.9.7.12</t>
  </si>
  <si>
    <t xml:space="preserve">         (–) Positive valuation differences in investment properties</t>
  </si>
  <si>
    <t>1.1.1.9.7.13</t>
  </si>
  <si>
    <t xml:space="preserve">         (–) Positive valuation differences in other fixed assets</t>
  </si>
  <si>
    <t>1.1.1.9.7.14</t>
  </si>
  <si>
    <t xml:space="preserve">         (–) Other positive valuation differences affecting the reserves and results</t>
  </si>
  <si>
    <t>1.1.1.9.7.15</t>
  </si>
  <si>
    <t xml:space="preserve">         (+) Elimination of losses from the valuation of cash flow hedges, gross amount</t>
  </si>
  <si>
    <t>1.1.1.9.7.17</t>
  </si>
  <si>
    <t xml:space="preserve">         (–) Elimination of gains from the valuation of cash flow hedges, gross amount</t>
  </si>
  <si>
    <t>1.1.1.9.7.20</t>
  </si>
  <si>
    <t xml:space="preserve">         (+) Add-back of the effect of expected credit loss during the transition period</t>
  </si>
  <si>
    <t>1.1.1.10</t>
  </si>
  <si>
    <t xml:space="preserve">   = Equity after second preliminary adjustments</t>
  </si>
  <si>
    <t xml:space="preserve">1.1.1.10.1
  </t>
  </si>
  <si>
    <t xml:space="preserve">      CET1 capital instruments of the parent company have the benefit of transitional adjustments (phase-out)
      (art. 141 Capital Ordinance)</t>
  </si>
  <si>
    <t xml:space="preserve">1.1.1.11
  </t>
  </si>
  <si>
    <t xml:space="preserve">   General adjustments without holdings 
   (arts. 31-40 Capital Ordinance)</t>
  </si>
  <si>
    <t xml:space="preserve">1.1.1.11.1
  </t>
  </si>
  <si>
    <t xml:space="preserve">      (–) Gross amount of own CET1 instruments
      (art. 32 let. h Capital Ordinance)</t>
  </si>
  <si>
    <t xml:space="preserve">1.1.1.11.3
  </t>
  </si>
  <si>
    <t xml:space="preserve">      (–) Goodwill, gross amount
      (art. 32 let. c Capital Ordinance)</t>
  </si>
  <si>
    <t>1.1.1.11.4</t>
  </si>
  <si>
    <t xml:space="preserve">      (+) Deferred tax liabilities associated with the goodwill, gross amount</t>
  </si>
  <si>
    <t xml:space="preserve">      (–) Other intangible assets, gross amount
      (art. 32 let. c Capital Ordinance)</t>
  </si>
  <si>
    <t>1.1.1.11.8</t>
  </si>
  <si>
    <t xml:space="preserve">      (+) Deferred tax liabilities associated with other intangible assets, gross amount</t>
  </si>
  <si>
    <t xml:space="preserve">1.1.1.11.11
  </t>
  </si>
  <si>
    <t xml:space="preserve">      (–) Deferred tax assets that rely on future profitability, gross amount
      (art. 32 let. d Capital Ordinance)</t>
  </si>
  <si>
    <t xml:space="preserve">1.1.1.11.13
  </t>
  </si>
  <si>
    <t xml:space="preserve">      (–) IRB shortfall of provisions to expected losses, gross amount
      (art. 32 let. e Capital Ordinance)</t>
  </si>
  <si>
    <t xml:space="preserve">1.1.1.11.15
  </t>
  </si>
  <si>
    <t xml:space="preserve">      (–) Defined benefit pension fund assets, gross amount
      (art. 32 let. g Capital Ordinance)</t>
  </si>
  <si>
    <t>1.1.1.11.16</t>
  </si>
  <si>
    <t xml:space="preserve">      (+) Defined benefit pension fund assets which the bank may use without restriction</t>
  </si>
  <si>
    <t xml:space="preserve">1.1.1.11.17 </t>
  </si>
  <si>
    <t xml:space="preserve">      (+) Deferred tax liabilities on the amount of defined benefit pension funds assets, which the institution may not use without restriction</t>
  </si>
  <si>
    <t xml:space="preserve">1.1.1.11.20
  </t>
  </si>
  <si>
    <t xml:space="preserve">      (–) Gains on sales related to securitisation transactions, gross amount
      (art. 32 let. f Capital Ordinance)</t>
  </si>
  <si>
    <t>1.1.1.11.22</t>
  </si>
  <si>
    <t xml:space="preserve">      (–) EL amount for equity exposures under the PD/LGD approach</t>
  </si>
  <si>
    <t xml:space="preserve">1.1.1.11.24
  </t>
  </si>
  <si>
    <t xml:space="preserve">      (–) Value adjustments due to the requirement for prudent valuation, gross amount
      (FINMA-Circ.17/7, margin no. 486, FINMA-Circ. 08/20, margin nos. 32-48)</t>
  </si>
  <si>
    <t>1.1.1.11.26</t>
  </si>
  <si>
    <t xml:space="preserve">      (–) Deduction of debit valuation adjustments (DVA) for derivatives, gross amount (art. 31 let. a Capital Ordinance)</t>
  </si>
  <si>
    <t>1.1.1.12</t>
  </si>
  <si>
    <t xml:space="preserve">   = Equity after general adjustments</t>
  </si>
  <si>
    <t xml:space="preserve">1.1.1.13
  </t>
  </si>
  <si>
    <t xml:space="preserve">   (–) Deduction for reciprocal cross-holdings, gross amount
   (art. 32 let. i Capital Ordinance)</t>
  </si>
  <si>
    <t xml:space="preserve">1.1.1.15
  </t>
  </si>
  <si>
    <t xml:space="preserve">   (–) Deduction for holdings for which a deduction treatment has been chosen, gross amount
   (art. 32 let. k Capital Ordinance)</t>
  </si>
  <si>
    <t xml:space="preserve">1.1.1.17
  </t>
  </si>
  <si>
    <t xml:space="preserve">   = Equity after general adjustments and holdings deducted in application of art. 32 let. i and k 
   (basis for calculation of threshold 1, see art. 35 par. 2 Capital Ordinance)</t>
  </si>
  <si>
    <t xml:space="preserve">1.1.1.18
  </t>
  </si>
  <si>
    <t xml:space="preserve">   (–) Holding in companies which are to be consolidated, gross amount
   (art. 32 let. j Capital Ordinance)</t>
  </si>
  <si>
    <t xml:space="preserve">1.1.1.20
  </t>
  </si>
  <si>
    <t xml:space="preserve">   (–) Non-qualifying holdings in financial sector, gross amount to deduct 
   (art. 37 Capital Ordinance)</t>
  </si>
  <si>
    <t xml:space="preserve">1.1.1.22
  </t>
  </si>
  <si>
    <t xml:space="preserve">   = Equity after general adjustments, reciprocal cross-holding, participations and non-qualifying holdings in financial sector 
   (basis for calculation of threshold 2, see art. 35 par. 3 Capital Ordinance)</t>
  </si>
  <si>
    <t xml:space="preserve">1.1.1.23
  </t>
  </si>
  <si>
    <t xml:space="preserve">   (–) Other qualifying holdings in financial sector, gross amount to deduct from CET1, according to threshold 2 
   (art. 38 Capital Ordinance)</t>
  </si>
  <si>
    <t xml:space="preserve">1.1.1.25
  </t>
  </si>
  <si>
    <t xml:space="preserve">   (–) Mortgage servicing rights, gross amount to deduct from CET1, according to threshold 2
   (art. 39 Capital Ordinance)</t>
  </si>
  <si>
    <t xml:space="preserve">1.1.1.27
  </t>
  </si>
  <si>
    <t xml:space="preserve">   (–) Other deferred tax assets, gross amount to deduct from CET1, according to threshold 2 
   (art. 39 Capital Ordinance)</t>
  </si>
  <si>
    <t>1.1.1.29</t>
  </si>
  <si>
    <t xml:space="preserve">   = Equity before threshold 3 and final adjustments (basis for calculation of threshold 3, see art. 35 par. 4 Capital Ordinance)</t>
  </si>
  <si>
    <t xml:space="preserve">1.1.1.30
</t>
  </si>
  <si>
    <t xml:space="preserve">   (–) Other qualifying holdings in financial sector, gross amount to deduct from CET1, according to threshold 3 
   (art. 40 Capital Ordinance)</t>
  </si>
  <si>
    <t xml:space="preserve">1.1.1.31
 </t>
  </si>
  <si>
    <t xml:space="preserve">   (–) Mortgage servicing rights, gross amount to deduct from CET1, according to threshold 3
   (art. 40 Capital Ordinance)</t>
  </si>
  <si>
    <t xml:space="preserve">1.1.1.32
  </t>
  </si>
  <si>
    <t xml:space="preserve">   (–) Other deferred tax assets, gross amount to deduct from CET1, according to threshold 3
   (art. 40 Capital Ordinance)</t>
  </si>
  <si>
    <t>1.1.1.34</t>
  </si>
  <si>
    <t xml:space="preserve">   Final adjustments</t>
  </si>
  <si>
    <t>1.1.1.34.1</t>
  </si>
  <si>
    <t xml:space="preserve">      (–) Excess of deductions from AT1 items over AT1 capital 
      (art. 33 par. 2 Capital Ordinance)</t>
  </si>
  <si>
    <t>1.1.1.34.2</t>
  </si>
  <si>
    <t xml:space="preserve">      (–) Other specific deductions from CET1 
      (art. 4 par. 3 Banking Act)</t>
  </si>
  <si>
    <t>1.1.1.35</t>
  </si>
  <si>
    <t xml:space="preserve">   = Net CET1 capital</t>
  </si>
  <si>
    <t xml:space="preserve">1.1.2
  </t>
  </si>
  <si>
    <t>Eligible additional Tier 1 capital (AT1)
(arts. 27-29 Capital Ordinance, art. 31 Capital Ordinance, arts. 33-40 Capital Ordinance)</t>
  </si>
  <si>
    <t>1.1.2.1</t>
  </si>
  <si>
    <t xml:space="preserve">   (+) Paid up capital instruments recorded as equity, fully eligible, issued by the parent company</t>
  </si>
  <si>
    <t>1.1.2.2</t>
  </si>
  <si>
    <t xml:space="preserve">   (+) Paid up capital instruments recorded as debts, fully eligible, issued by the parent company</t>
  </si>
  <si>
    <t xml:space="preserve">1.1.2.3
  </t>
  </si>
  <si>
    <t xml:space="preserve">   (+) Other components of AT1 capital for private banks
   (FINMA-Circ. 13/1, margin no. 53)</t>
  </si>
  <si>
    <t>1.1.2.4</t>
  </si>
  <si>
    <t xml:space="preserve">   (+) Share premium relating to AT1 (in the case where segregation from other reserves is required)</t>
  </si>
  <si>
    <t>1.1.2.5</t>
  </si>
  <si>
    <t xml:space="preserve">   (+) Instruments issued by banking subsidiaries recognised in AT1, fully eligible</t>
  </si>
  <si>
    <t xml:space="preserve">1.1.2.6
  </t>
  </si>
  <si>
    <t xml:space="preserve">   (+) Transitional adjustments due to grandfathered AT1 capital instruments, issued by the parent company
   (arts. 140 and 141 Capital Ordinance)</t>
  </si>
  <si>
    <t>1.1.2.7</t>
  </si>
  <si>
    <t xml:space="preserve">   (+) Instruments issued by banking subsidiaries recognised in AT1, partially eligible (phase-out)</t>
  </si>
  <si>
    <t xml:space="preserve">1.1.2.8
  </t>
  </si>
  <si>
    <t xml:space="preserve">   (+) Minority interests issued by banking subsidiaries, which exceed the capital needs of the subsidiary but can be taken into account 
   when applying transitional arrangements (phase-out) </t>
  </si>
  <si>
    <t xml:space="preserve">1.1.2.9
  </t>
  </si>
  <si>
    <t xml:space="preserve">   (+) Minority interests issued by non-banking subsidiaries that can be taken into account when applying transitional arrangements 
   (phase-out)</t>
  </si>
  <si>
    <t>1.1.2.10</t>
  </si>
  <si>
    <t xml:space="preserve">   = AT1 capital, before deductions</t>
  </si>
  <si>
    <t xml:space="preserve">1.1.2.11
  </t>
  </si>
  <si>
    <t xml:space="preserve">   General deductions from AT1 capital
   (art. 31 Capital Ordinance, arts. 33-40 Capital Ordinance)</t>
  </si>
  <si>
    <t xml:space="preserve">1.1.2.11.1
  </t>
  </si>
  <si>
    <t xml:space="preserve">      (–) Own AT1 instruments
      (art. 34 par. 1 Capital Ordinance)</t>
  </si>
  <si>
    <t xml:space="preserve">1.1.2.11.2
  </t>
  </si>
  <si>
    <t xml:space="preserve">      (–) Reciprocal cross-holdings, gross amount to deduct
      (art. 32 let. i Capital Ordinance)</t>
  </si>
  <si>
    <t xml:space="preserve">1.1.2.11.3
  </t>
  </si>
  <si>
    <t xml:space="preserve">      (–) Holdings for which a deduction treatment has been chosen, gross amount to deduct
      (art. 32 let. k Capital Ordinance)</t>
  </si>
  <si>
    <t xml:space="preserve">1.1.2.11.4
  </t>
  </si>
  <si>
    <t xml:space="preserve">      (–) Holdings in companies which are to be consolidated, gross amount to deduct
      (art. 32 let. j Capital Ordinance)</t>
  </si>
  <si>
    <t xml:space="preserve">      (–) Non-qualifying holdings in financial sector, gross amount to deduct
      (art. 37 Capital Ordinance)</t>
  </si>
  <si>
    <t xml:space="preserve">      (–) Other qualifying holdings in financial sector, gross amount to deduct
      (arts. 38 and 40 Capital Ordinance)</t>
  </si>
  <si>
    <t xml:space="preserve">      (–) Excess of deductions from T2 items over T2 capital
      (art. 33 par. 2 Capital Ordinance)</t>
  </si>
  <si>
    <t>1.1.2.13</t>
  </si>
  <si>
    <t xml:space="preserve">   = AT1 capital before T1 adjustments</t>
  </si>
  <si>
    <t>1.1.3.19</t>
  </si>
  <si>
    <t xml:space="preserve">1.1.3.19.1
</t>
  </si>
  <si>
    <t xml:space="preserve">      (–) Other specific deductions from AT1 capital
      (art. 4 par. 3 Banking Act)</t>
  </si>
  <si>
    <t>1.1.3.19.2</t>
  </si>
  <si>
    <t xml:space="preserve">      (+) Excess of deductions, attributed to CET1 capital (if any)</t>
  </si>
  <si>
    <t>1.1.3.20</t>
  </si>
  <si>
    <t xml:space="preserve">   = Net AT1 capital</t>
  </si>
  <si>
    <t>1.1.4</t>
  </si>
  <si>
    <t>= Net Tier 1 capital</t>
  </si>
  <si>
    <t xml:space="preserve">1.2
</t>
  </si>
  <si>
    <t>Eligible Tier 2 capital (T2)
(arts. 30 and 31 Capital Ordinance, arts. 33-40 Capital Ordinance)</t>
  </si>
  <si>
    <t>1.2.1</t>
  </si>
  <si>
    <t>(+) Paid up capital instruments, fully eligible, issued by the parent company</t>
  </si>
  <si>
    <t xml:space="preserve">   Of which:</t>
  </si>
  <si>
    <t>1.2.1.1</t>
  </si>
  <si>
    <t xml:space="preserve">   Subordinated instruments issued by cooperative entities</t>
  </si>
  <si>
    <t>1.2.2</t>
  </si>
  <si>
    <t>(+) Instruments issued by banking subsidiaries recognised in T2, fully eligible</t>
  </si>
  <si>
    <t xml:space="preserve">1.2.3
  </t>
  </si>
  <si>
    <t>(+) Transitional adjustments due to grandfathered T2 capital instruments issued by the parent company
(arts. 140 and 141 Capital Ordinance)</t>
  </si>
  <si>
    <t>1.2.4</t>
  </si>
  <si>
    <t>(+) Instruments issued by banking subsidiaries recognised in T2, partially eligible (phase-out)</t>
  </si>
  <si>
    <t xml:space="preserve">1.2.5
  </t>
  </si>
  <si>
    <t xml:space="preserve">(+) Minority interests issued by banking subsidiaries, which exceed the capital needs of the subsidiary but can be taken into account 
when applying transitional arrangements (phase-out) </t>
  </si>
  <si>
    <t xml:space="preserve">1.2.6
  </t>
  </si>
  <si>
    <t>(+) Minority interests issued by non-banking subsidiaries that can be taken into account when applying transitional arrangements 
(phase-out)</t>
  </si>
  <si>
    <t xml:space="preserve">1.2.7
  </t>
  </si>
  <si>
    <t>(–) Reduction in the eligibility due to the amortisation mechanism 
(art. 30 par. 2 Capital Ordinance)</t>
  </si>
  <si>
    <t xml:space="preserve">1.2.8
  </t>
  </si>
  <si>
    <t>(+) Other components of T2 capital for private banks: other subordinated assets of partners with unlimited liability, which are not eligible
as CET1
(FINMA-Circ. 13/1, margin no. 54)</t>
  </si>
  <si>
    <t xml:space="preserve">1.2.9
  </t>
  </si>
  <si>
    <t>(+) Hidden reserves included in provisions, after deduction of the deferred taxes, if any
(art. 30 par. 4 Capital Ordinance, FINMA-Circ. 13/1, margin no. 99)</t>
  </si>
  <si>
    <t xml:space="preserve">1.2.10
  </t>
  </si>
  <si>
    <t>(+) Hidden reserves included in participating interests and tangible fixed assets, after deduction of the deferred taxes, if any 
(art. 30 par. 4 Capital Ordinance, FINMA-Circ. 13/1, margin no. 100)</t>
  </si>
  <si>
    <t xml:space="preserve">1.2.11
  </t>
  </si>
  <si>
    <t>(+) Revaluation reserves in available-for-sale equity securities and available-for-sale debt securities
(art. 30 par. 4 Capital Ordinance, FINMA-Circ. 13/1, margin no. 101)</t>
  </si>
  <si>
    <t xml:space="preserve">1.2.12
  </t>
  </si>
  <si>
    <t>(+) General provisions for default risk under the international standardised approach
(FINMA-Circ. 13/1, margin no. 95)</t>
  </si>
  <si>
    <t xml:space="preserve">1.2.13
  </t>
  </si>
  <si>
    <t>(+) Provision excess under the IRB approach
(FINMA-Circ. 13/1, margin nos. 96-98)</t>
  </si>
  <si>
    <t>1.2.14</t>
  </si>
  <si>
    <t>= T2 capital, before deduction and impacts of transitional arrangements</t>
  </si>
  <si>
    <t xml:space="preserve">1.2.15
  </t>
  </si>
  <si>
    <t>General deductions from Tier 2 capital
(art. 31 Capital Ordinance, arts. 33-40 Capital Ordinance)</t>
  </si>
  <si>
    <t xml:space="preserve">1.2.15.1
  </t>
  </si>
  <si>
    <t xml:space="preserve">   (–) Own T2 instruments
   (art. 34 par. 2 Capital Ordinance)</t>
  </si>
  <si>
    <t xml:space="preserve">1.2.15.2
  </t>
  </si>
  <si>
    <t xml:space="preserve">   (–) Reciprocal cross-holdings, gross amount to deduct
   (art. 32 let. i Capital Ordinance)</t>
  </si>
  <si>
    <t xml:space="preserve">1.2.15.3
  </t>
  </si>
  <si>
    <t xml:space="preserve">   (–) Holdings for which a deduction treatment has been chosen, gross amount to deduct
   (art. 32 let. k Capital Ordinance, in connection with art. 7 par. 4 Capital Ordinance, art. 8 par. 2 and 3 Capital Ordinance and 
   art. 9 par. 1 and 3 Capital Ordinance)</t>
  </si>
  <si>
    <t xml:space="preserve">1.2.15.4
  </t>
  </si>
  <si>
    <t xml:space="preserve">   (–) Holdings in companies which are to be consolidated, gross amount to deduct
   (art. 32 let. j Capital Ordinance)</t>
  </si>
  <si>
    <t xml:space="preserve">1.2.15.5
  </t>
  </si>
  <si>
    <t xml:space="preserve">   (–) Non-qualifying holdings in financial sector, gross amount to deduct
   (art. 37 Capital Ordinance)</t>
  </si>
  <si>
    <t xml:space="preserve">1.2.15.6
  </t>
  </si>
  <si>
    <t xml:space="preserve">   (–) Other qualifying holdings in financial sector, gross amount to deduct
   (arts. 38 and 40 Capital Ordinance)</t>
  </si>
  <si>
    <t xml:space="preserve">   Of which of item 1.2.15:</t>
  </si>
  <si>
    <t>1.2.15.7</t>
  </si>
  <si>
    <t>1.2.18</t>
  </si>
  <si>
    <t>Final adjustments</t>
  </si>
  <si>
    <t xml:space="preserve">1.2.18.1
  </t>
  </si>
  <si>
    <t xml:space="preserve">   (–) Other specific deductions from T2 capital
   (art. 4 par. 3 Banking Act)</t>
  </si>
  <si>
    <t>1.2.18.2</t>
  </si>
  <si>
    <t xml:space="preserve">   (+) Excess of deductions, attributed to AT1 capital, if any</t>
  </si>
  <si>
    <t>1.2.19</t>
  </si>
  <si>
    <t>= Net T2 capital</t>
  </si>
  <si>
    <t>Memorandum items</t>
  </si>
  <si>
    <t>1.3.1</t>
  </si>
  <si>
    <t>Transitional recognition of CET1 capital instruments</t>
  </si>
  <si>
    <t>1.3.1.1</t>
  </si>
  <si>
    <t xml:space="preserve">   Gross amount of grandfathered CET1 capital instruments issued by the parent company</t>
  </si>
  <si>
    <t>1.3.1.2</t>
  </si>
  <si>
    <t xml:space="preserve">   Gross amount of CET1 capital instruments (grandfathered) issued by banking subsidiaries, owned by minority interests </t>
  </si>
  <si>
    <t>1.3.2</t>
  </si>
  <si>
    <t>Transitional recognition of AT1 capital instruments</t>
  </si>
  <si>
    <t>1.3.2.1</t>
  </si>
  <si>
    <t xml:space="preserve">   Gross amount of grandfathered AT1 capital instruments issued by the parent company</t>
  </si>
  <si>
    <t>1.3.2.2</t>
  </si>
  <si>
    <t xml:space="preserve">   Gross amount of AT1 capital instruments (grandfathered) issued by banking subsidiaries, owned by minority interests </t>
  </si>
  <si>
    <t>1.3.3</t>
  </si>
  <si>
    <t>Transitional recognition of T2 capital instruments</t>
  </si>
  <si>
    <t>1.3.3.1</t>
  </si>
  <si>
    <t xml:space="preserve">   Gross amount of grandfathered T2 capital instruments issued by the parent company</t>
  </si>
  <si>
    <t>1.3.3.2</t>
  </si>
  <si>
    <t xml:space="preserve">   Gross amount of T2 capital instruments issued by banking subsidiaries, owned by minority interests</t>
  </si>
  <si>
    <t xml:space="preserve">1.3.4
  </t>
  </si>
  <si>
    <t>T2 instruments subject to decreasing recognition for the 5 years before maturity, including those having the benefit of transitional arrangements and those in the hands of eligible minority interests (gross amount)
(art. 30 par. 2 Capital Ordinance)</t>
  </si>
  <si>
    <t>1.3.4.1</t>
  </si>
  <si>
    <t xml:space="preserve">   Subordinated loans with residual maturity of 5 years and longer</t>
  </si>
  <si>
    <t>1.3.4.2</t>
  </si>
  <si>
    <t xml:space="preserve">   Subordinated loans with initial maturity of 5 years and longer and residual maturity of under 5 years</t>
  </si>
  <si>
    <t>1.3.4.3</t>
  </si>
  <si>
    <t xml:space="preserve">   Subordinated loans with initial maturity of 5 years and longer and residual maturity of under 4 years</t>
  </si>
  <si>
    <t>1.3.4.4</t>
  </si>
  <si>
    <t xml:space="preserve">   Subordinated loans with initial maturity of 5 years and longer and residual maturity of under 3 years</t>
  </si>
  <si>
    <t>1.3.4.5</t>
  </si>
  <si>
    <t xml:space="preserve">   Subordinated loans with initial maturity of 5 years and longer and residual maturity of under 2 years</t>
  </si>
  <si>
    <t>1.3.4.6</t>
  </si>
  <si>
    <t xml:space="preserve">   Subordinated loans with initial maturity of under 5 years or with residual maturity of under 1 year</t>
  </si>
  <si>
    <t>Eligibility of capital</t>
  </si>
  <si>
    <t>1.4.1</t>
  </si>
  <si>
    <t>CET1 capital, amount available after preliminary adjustments (see 1.1.1.10)</t>
  </si>
  <si>
    <t>1.4.2</t>
  </si>
  <si>
    <t>CET1 capital, amount to take into account for threshold 1 (see 1.1.1.17)</t>
  </si>
  <si>
    <t>1.4.3</t>
  </si>
  <si>
    <t>CET1 capital, amount to take into account for threshold 2 (see 1.1.1.22)</t>
  </si>
  <si>
    <t>1.4.4</t>
  </si>
  <si>
    <t>CET1 capital, amount to take into account for threshold 3 (see 1.1.1.29)</t>
  </si>
  <si>
    <t>1.4.5</t>
  </si>
  <si>
    <t>CET1 capital, after all adjustments (see 1.1.1.35)</t>
  </si>
  <si>
    <t>1.4.6</t>
  </si>
  <si>
    <t>AT1 capital, amount available before adjustments (1.1.2.10)</t>
  </si>
  <si>
    <t>1.4.7</t>
  </si>
  <si>
    <t>AT1 capital, after adjustments (see 1.1.3.20)</t>
  </si>
  <si>
    <t>1.4.8</t>
  </si>
  <si>
    <t>T1 capital, after adjustments (see 1.1.4)</t>
  </si>
  <si>
    <t>1.4.9</t>
  </si>
  <si>
    <t>T2 capital, amount available before adjustments (1.2.14)</t>
  </si>
  <si>
    <t>1.4.10</t>
  </si>
  <si>
    <t>T2 capital, after adjustments (see 1.2.19)</t>
  </si>
  <si>
    <t>1.4.11</t>
  </si>
  <si>
    <t>Total regulatory capital, after adjustments (1.1.4 + 1.2.19)</t>
  </si>
  <si>
    <t>Eligibility of capital, taking into account the capital required to cover excess on limits for participations</t>
  </si>
  <si>
    <t>Remaining CET1 capital</t>
  </si>
  <si>
    <t>Remaining AT1 capital</t>
  </si>
  <si>
    <t>Remaining Tier 1 capital (CET1 + AT1)</t>
  </si>
  <si>
    <t>Remaining T2 capital</t>
  </si>
  <si>
    <t>Total remaining regulatory capital</t>
  </si>
  <si>
    <t xml:space="preserve">2
 </t>
  </si>
  <si>
    <t>Total minimum capital requirements
(art. 42 Capital Ordinance)</t>
  </si>
  <si>
    <t xml:space="preserve">2.1
 </t>
  </si>
  <si>
    <t>Minimum capital requirements for credit risk under the SA-BIS and the IRB and for other credit risk items
(arts. 48-77 Capital Ordinance)</t>
  </si>
  <si>
    <t xml:space="preserve">2.1.1  </t>
  </si>
  <si>
    <t>Minimum capital requirements for credit risk under the SA-BIS</t>
  </si>
  <si>
    <t>2.1.1.1</t>
  </si>
  <si>
    <t>Minimum capital requirements for asset classes pursuant to art. 63 Capital Ordinance (without securitisation exposures)</t>
  </si>
  <si>
    <t>Of which mortgage loans (art. 63 par. 3 let. c, annex 3, art. 72 Capital Ordinance):</t>
  </si>
  <si>
    <t>2.1.1.1.0.1</t>
  </si>
  <si>
    <t>With a risk weight of 35%</t>
  </si>
  <si>
    <t>= CRSABIS_01..07 [07/18]</t>
  </si>
  <si>
    <t>2.1.1.1.0.2</t>
  </si>
  <si>
    <t>With a risk weight of 75%</t>
  </si>
  <si>
    <t>= CRSABIS_01..07 [20/18]</t>
  </si>
  <si>
    <t>2.1.1.1.0.3</t>
  </si>
  <si>
    <t>With a risk weight of 100%</t>
  </si>
  <si>
    <t>= CRSABIS_01..07 [14/18]</t>
  </si>
  <si>
    <t>2.1.1.1.0.4</t>
  </si>
  <si>
    <t>Of which: Past due exposures (art. 63 par. 3 let. e Capital Ordinance)</t>
  </si>
  <si>
    <t>= CRSABIS_01..07 [15+17/18]</t>
  </si>
  <si>
    <t xml:space="preserve">2.1.1.1.1
 </t>
  </si>
  <si>
    <t xml:space="preserve">      Sovereigns
      (art. 63 par. 2 let. a Capital Ordinance)</t>
  </si>
  <si>
    <t>= CRSABIS_01 [01/18]</t>
  </si>
  <si>
    <t>2.1.1.1.2</t>
  </si>
  <si>
    <t xml:space="preserve">      Institutions</t>
  </si>
  <si>
    <t xml:space="preserve">2.1.1.1.2.1
 </t>
  </si>
  <si>
    <t xml:space="preserve">         Banks and securities dealers
         (art. 63 par. 2 let. d Capital Ordinance, art. 68 Capital Ordinance)</t>
  </si>
  <si>
    <t>= CRSABIS_02 [01/18]</t>
  </si>
  <si>
    <t xml:space="preserve">2.1.1.1.2.2
 </t>
  </si>
  <si>
    <t xml:space="preserve">         Other institutions
         (art. 63 par. 2 let. b, c and e Capital Ordinance)</t>
  </si>
  <si>
    <t>= CRSABIS_03 [01/18]</t>
  </si>
  <si>
    <t xml:space="preserve">2.1.1.1.3
 </t>
  </si>
  <si>
    <t xml:space="preserve">      Corporates
      (art. 63 par. 2 let. f and g Capital Ordinance, art. 63 par. 3 let. b Capital Ordinance, art. 69 and 71 Capital Ordinance)</t>
  </si>
  <si>
    <t>= CRSABIS_04 [01/18]</t>
  </si>
  <si>
    <t xml:space="preserve">2.1.1.1.4
 </t>
  </si>
  <si>
    <t xml:space="preserve">      Retail
      (art. 63 par. 3 let. a Capital Ordinance)</t>
  </si>
  <si>
    <t>= CRSABIS_05 [01/18]</t>
  </si>
  <si>
    <t xml:space="preserve">      Equity
      (art. 63 par. 3 let. f Capital Ordinance)</t>
  </si>
  <si>
    <t>= CRSABIS_06 [01/18]</t>
  </si>
  <si>
    <t xml:space="preserve">      Other exposures
      (art. 63 par. 3 let. g Capital Ordinance)</t>
  </si>
  <si>
    <t>= CRSABIS_07 [01/18]</t>
  </si>
  <si>
    <r>
      <t xml:space="preserve">      Investments "in all types of funds"
      (art. 63 par. 3 let. f</t>
    </r>
    <r>
      <rPr>
        <vertAlign val="superscript"/>
        <sz val="10"/>
        <rFont val="Arial"/>
        <family val="2"/>
      </rPr>
      <t>bis</t>
    </r>
    <r>
      <rPr>
        <sz val="10"/>
        <rFont val="Arial"/>
        <family val="2"/>
      </rPr>
      <t xml:space="preserve"> Capital Ordinance)</t>
    </r>
  </si>
  <si>
    <t xml:space="preserve">         Of which based on Look-Through Approach</t>
  </si>
  <si>
    <t>=CRFUNDS [01/07]</t>
  </si>
  <si>
    <t xml:space="preserve">         Of which based on Mandate-Based Approach</t>
  </si>
  <si>
    <t>=CRFUNDS [03/07]</t>
  </si>
  <si>
    <t xml:space="preserve">         Of which based on Fallback Approach</t>
  </si>
  <si>
    <t>=CRFUNDS [05/07]</t>
  </si>
  <si>
    <t xml:space="preserve">         Of which based on Simplified Approach</t>
  </si>
  <si>
    <t>=CRFUNDS [07/07] + CRFUNDS [24/07]</t>
  </si>
  <si>
    <t xml:space="preserve">2.1.2
 </t>
  </si>
  <si>
    <t>Minimum capital requirements for credit risk under the IRB 
(art. 77 Capital Ordinance)</t>
  </si>
  <si>
    <t xml:space="preserve">2.1.2.1 </t>
  </si>
  <si>
    <t xml:space="preserve">   Subtotal of the minimum capital requirements for exposure classes under the F-IRB (Foundation IRB) (without securitisation exposures) </t>
  </si>
  <si>
    <t xml:space="preserve">2.1.2.1.0.1
</t>
  </si>
  <si>
    <r>
      <t xml:space="preserve">         Subtotal of the minimum capital requirements for asset classes under the F-IRB (Foundation IRB) (without securitisation exposures)
         </t>
    </r>
    <r>
      <rPr>
        <b/>
        <sz val="10"/>
        <rFont val="Arial"/>
        <family val="2"/>
      </rPr>
      <t xml:space="preserve">before IRB scaling factor </t>
    </r>
  </si>
  <si>
    <t>2.1.2.1.1</t>
  </si>
  <si>
    <r>
      <t xml:space="preserve">      Sovereigns </t>
    </r>
    <r>
      <rPr>
        <b/>
        <sz val="10"/>
        <rFont val="Arial"/>
        <family val="2"/>
      </rPr>
      <t>(before IRB scaling factor)</t>
    </r>
  </si>
  <si>
    <t>2.1.2.1.2</t>
  </si>
  <si>
    <r>
      <t xml:space="preserve">      Institutions </t>
    </r>
    <r>
      <rPr>
        <b/>
        <sz val="10"/>
        <rFont val="Arial"/>
        <family val="2"/>
      </rPr>
      <t>(before IRB scaling factor)</t>
    </r>
  </si>
  <si>
    <t>2.1.2.1.2.1</t>
  </si>
  <si>
    <r>
      <t xml:space="preserve">         Banks and securities dealers </t>
    </r>
    <r>
      <rPr>
        <b/>
        <sz val="10"/>
        <rFont val="Arial"/>
        <family val="2"/>
      </rPr>
      <t>(before IRB scaling factor)</t>
    </r>
  </si>
  <si>
    <t>2.1.2.1.2.2</t>
  </si>
  <si>
    <r>
      <t xml:space="preserve">         Other institutions </t>
    </r>
    <r>
      <rPr>
        <b/>
        <sz val="10"/>
        <rFont val="Arial"/>
        <family val="2"/>
      </rPr>
      <t>(before IRB scaling factor)</t>
    </r>
  </si>
  <si>
    <t>2.1.2.1.3</t>
  </si>
  <si>
    <r>
      <t xml:space="preserve">      Corporates </t>
    </r>
    <r>
      <rPr>
        <b/>
        <sz val="10"/>
        <rFont val="Arial"/>
        <family val="2"/>
      </rPr>
      <t>(before IRB scaling factor)</t>
    </r>
  </si>
  <si>
    <t>2.1.2.1.3.1</t>
  </si>
  <si>
    <r>
      <t xml:space="preserve">         Corporates: specialised lending </t>
    </r>
    <r>
      <rPr>
        <b/>
        <sz val="10"/>
        <rFont val="Arial"/>
        <family val="2"/>
      </rPr>
      <t>(before IRB scaling factor)</t>
    </r>
  </si>
  <si>
    <t>2.1.2.1.3.2</t>
  </si>
  <si>
    <r>
      <t xml:space="preserve">         Corporates without specialised lending </t>
    </r>
    <r>
      <rPr>
        <b/>
        <sz val="10"/>
        <rFont val="Arial"/>
        <family val="2"/>
      </rPr>
      <t>(before IRB scaling factor)</t>
    </r>
  </si>
  <si>
    <t xml:space="preserve">2.1.2.2
</t>
  </si>
  <si>
    <t xml:space="preserve">   Subtotal of the minimum capital requirements for asset classes under the A-IRB (Advanced IRB) 
   (without securitisation exposures)</t>
  </si>
  <si>
    <t xml:space="preserve">2.1.2.2.0.1
 </t>
  </si>
  <si>
    <r>
      <t xml:space="preserve">         Subtotal of the minimum capital requirements for asset classes under the A-IRB, </t>
    </r>
    <r>
      <rPr>
        <b/>
        <sz val="10"/>
        <rFont val="Arial"/>
        <family val="2"/>
      </rPr>
      <t xml:space="preserve">before IRB scaling factor </t>
    </r>
    <r>
      <rPr>
        <sz val="10"/>
        <rFont val="Arial"/>
        <family val="2"/>
      </rPr>
      <t xml:space="preserve">
         (without securitisation exposures)</t>
    </r>
  </si>
  <si>
    <t>2.1.2.2.1</t>
  </si>
  <si>
    <r>
      <t xml:space="preserve">      Central governments and central banks </t>
    </r>
    <r>
      <rPr>
        <b/>
        <sz val="10"/>
        <rFont val="Arial"/>
        <family val="2"/>
      </rPr>
      <t>(before IRB scaling factor)</t>
    </r>
  </si>
  <si>
    <t>2.1.2.2.2</t>
  </si>
  <si>
    <t>2.1.2.2.2.1</t>
  </si>
  <si>
    <t>2.1.2.2.2.2</t>
  </si>
  <si>
    <t>2.1.2.2.3</t>
  </si>
  <si>
    <t>2.1.2.2.3.1</t>
  </si>
  <si>
    <t>2.1.2.2.3.2</t>
  </si>
  <si>
    <t>2.1.2.2.4</t>
  </si>
  <si>
    <r>
      <t xml:space="preserve">      Retail </t>
    </r>
    <r>
      <rPr>
        <b/>
        <sz val="10"/>
        <rFont val="Arial"/>
        <family val="2"/>
      </rPr>
      <t>(before IRB scaling factor)</t>
    </r>
  </si>
  <si>
    <t>2.1.2.2.4.1</t>
  </si>
  <si>
    <r>
      <t xml:space="preserve">         Retail exposures, secured by real estate </t>
    </r>
    <r>
      <rPr>
        <b/>
        <sz val="10"/>
        <rFont val="Arial"/>
        <family val="2"/>
      </rPr>
      <t>(before IRB scaling factor)</t>
    </r>
  </si>
  <si>
    <t>2.1.2.2.4.2</t>
  </si>
  <si>
    <r>
      <t xml:space="preserve">         Retail exposures, qualifying revolving </t>
    </r>
    <r>
      <rPr>
        <b/>
        <sz val="10"/>
        <rFont val="Arial"/>
        <family val="2"/>
      </rPr>
      <t>(before IRB scaling factor)</t>
    </r>
  </si>
  <si>
    <t>2.1.2.2.4.3</t>
  </si>
  <si>
    <r>
      <t xml:space="preserve">         Other retail exposures </t>
    </r>
    <r>
      <rPr>
        <b/>
        <sz val="10"/>
        <rFont val="Arial"/>
        <family val="2"/>
      </rPr>
      <t>(before IRB scaling factor)</t>
    </r>
  </si>
  <si>
    <t>2.1.2.3</t>
  </si>
  <si>
    <t xml:space="preserve">   Subtotal of the minimum capital requirements for equity under the IRB</t>
  </si>
  <si>
    <t>2.1.2.3.1</t>
  </si>
  <si>
    <r>
      <t xml:space="preserve">      Subtotal of the minimum capital requirements under the IRB for equity </t>
    </r>
    <r>
      <rPr>
        <b/>
        <sz val="10"/>
        <rFont val="Arial"/>
        <family val="2"/>
      </rPr>
      <t>before IRB scaling factor</t>
    </r>
  </si>
  <si>
    <t xml:space="preserve">2.1.3
 </t>
  </si>
  <si>
    <t>Minimum capital requirements for settlement risk 
(art. 76 Capital Ordinance)</t>
  </si>
  <si>
    <t xml:space="preserve">2.1.3.1
</t>
  </si>
  <si>
    <t xml:space="preserve">   Minimum capital requirements for settlement risk 
   (art. 76 par. 1 Capital Ordinance)</t>
  </si>
  <si>
    <t xml:space="preserve">2.1.3.2
</t>
  </si>
  <si>
    <t xml:space="preserve">   Minimum capital requirements for settlement risk 
   (art. 76 par. 2 let. b Capital Ordinance)</t>
  </si>
  <si>
    <t xml:space="preserve">2.1.4
</t>
  </si>
  <si>
    <t>Minimum capital requirements for exposures against default funds of central counterparties (CCPs) 
(art. 70 Capital Ordinance)</t>
  </si>
  <si>
    <t>2.1.4.1</t>
  </si>
  <si>
    <t xml:space="preserve">   Qualifying CCPs</t>
  </si>
  <si>
    <t>2.1.4.2</t>
  </si>
  <si>
    <t xml:space="preserve">   Non-qualifying CCPs</t>
  </si>
  <si>
    <t>Minimum capital requirements for trade exposures and posted collateral to qualifying CCPs 
(art. 69 Capital Ordinance)</t>
  </si>
  <si>
    <t>Minimum capital requirements for credit valuation adjustments (CVAs) 
(art. 55 Capital Ordinance)</t>
  </si>
  <si>
    <t xml:space="preserve">   Simplified approach</t>
  </si>
  <si>
    <t xml:space="preserve">   Standardised approach</t>
  </si>
  <si>
    <t xml:space="preserve">   Advanced approach</t>
  </si>
  <si>
    <t>Securitisation exposures in the banking book</t>
  </si>
  <si>
    <t>Securitisation internal ratings-based approach (SEC-IRBA)</t>
  </si>
  <si>
    <t>=P_SR:P_CRSEC[01+18/14]</t>
  </si>
  <si>
    <t>Securitisation external ratings-based approach (SEC-ERBA), including internal assessment approach (IAA)</t>
  </si>
  <si>
    <t>=P_SR:P_CRSEC[01+18/15]</t>
  </si>
  <si>
    <t>Securitisation standardised approach (SEC-SA)</t>
  </si>
  <si>
    <t>=P_SR:P_CRSEC[01+18/16]</t>
  </si>
  <si>
    <t>1250% risk weighting</t>
  </si>
  <si>
    <t>=P_SR:P_CRSEC[01+18/17]</t>
  </si>
  <si>
    <t xml:space="preserve">2.2
 </t>
  </si>
  <si>
    <t>Minimum capital requirements for non-counterparty related risk
(arts. 78 and 79 Capital Ordinance)</t>
  </si>
  <si>
    <t>Property</t>
  </si>
  <si>
    <t>Other Fixed Assets as well as depreciable assets shown on the balance sheet as other assets</t>
  </si>
  <si>
    <t xml:space="preserve">2.3 
</t>
  </si>
  <si>
    <t>Minimum capital requirements for market risk
(arts. 80-88 Capital Ordinance)</t>
  </si>
  <si>
    <t>Interest rate instruments, equities, currency, gold and commodity risk under the standardised approach to market risk</t>
  </si>
  <si>
    <t>2.3.1.1</t>
  </si>
  <si>
    <t xml:space="preserve">   Interest rate instruments held in the trading book</t>
  </si>
  <si>
    <t>2.3.1.1.1</t>
  </si>
  <si>
    <t xml:space="preserve">      Specific risk of interest rate instruments held in the trading book</t>
  </si>
  <si>
    <t>2.3.1.1.1.1</t>
  </si>
  <si>
    <t xml:space="preserve">         Specific risk of non-securitisation positions</t>
  </si>
  <si>
    <t>= MKR_BIS [24,03]</t>
  </si>
  <si>
    <t>2.3.1.1.1.2</t>
  </si>
  <si>
    <t xml:space="preserve">         Specific risk of securitisation positions</t>
  </si>
  <si>
    <t>= MKR_BIS [82/03]</t>
  </si>
  <si>
    <t>2.3.1.1.2</t>
  </si>
  <si>
    <t xml:space="preserve">      General market risk of interest rate instruments held in the trading book</t>
  </si>
  <si>
    <t>= MKR_BIS [27/03]</t>
  </si>
  <si>
    <t>2.3.1.2</t>
  </si>
  <si>
    <t xml:space="preserve">   Equities held in the trading book</t>
  </si>
  <si>
    <t>2.3.1.2.1</t>
  </si>
  <si>
    <t xml:space="preserve">      Specific risk of equity held in the trading book</t>
  </si>
  <si>
    <t>= MKR_BIS [31/03]</t>
  </si>
  <si>
    <t>2.3.1.2.2</t>
  </si>
  <si>
    <t xml:space="preserve">      General market risk of equity held in the trading book</t>
  </si>
  <si>
    <t>= MKR_BIS [33/03]</t>
  </si>
  <si>
    <t>2.3.1.3</t>
  </si>
  <si>
    <t xml:space="preserve">   Currencies</t>
  </si>
  <si>
    <t>= MKR_BIS [01/03]</t>
  </si>
  <si>
    <t>2.3.1.4</t>
  </si>
  <si>
    <t xml:space="preserve">   Gold</t>
  </si>
  <si>
    <t>= MKR_BIS [02/03]</t>
  </si>
  <si>
    <t xml:space="preserve">   Commodities</t>
  </si>
  <si>
    <t>= MKR_BIS [89 + 90/03]</t>
  </si>
  <si>
    <t xml:space="preserve">      According to the maturity ladder approach</t>
  </si>
  <si>
    <t xml:space="preserve">      According to the simplified approach</t>
  </si>
  <si>
    <t xml:space="preserve">   Options</t>
  </si>
  <si>
    <t xml:space="preserve">      Options according to the simplified approach</t>
  </si>
  <si>
    <t>= MKR_BIS [39/03]</t>
  </si>
  <si>
    <t xml:space="preserve">      Options according to the delta plus method</t>
  </si>
  <si>
    <t>= MKR_BIS [45 + 51/03]</t>
  </si>
  <si>
    <t xml:space="preserve">      Options using scenario analysis approach</t>
  </si>
  <si>
    <t>= MKR_BIS [57/03]</t>
  </si>
  <si>
    <t>Interest rate instruments, equities, currency, gold and commodity risk under the model approach to market risk</t>
  </si>
  <si>
    <t>= MKR_BIS [75/03]</t>
  </si>
  <si>
    <t xml:space="preserve">2.4 
 </t>
  </si>
  <si>
    <t>Minimum capital requirements for operational risk (OpR)
(arts. 89-94 Capital Ordinance)</t>
  </si>
  <si>
    <t>OpR using the basic indicator approach (BIA)</t>
  </si>
  <si>
    <t>OpR using the standardised approach (SA)</t>
  </si>
  <si>
    <t>2.4.3</t>
  </si>
  <si>
    <t>OpR using advanced measurement approaches (AMA)</t>
  </si>
  <si>
    <t xml:space="preserve">2.5
</t>
  </si>
  <si>
    <t>Items not deducted in application of threshold 3, but risk-weighted with 250%: minimum capital requirements 
(art. 40 Capital Ordinance)</t>
  </si>
  <si>
    <t xml:space="preserve">2.6
</t>
  </si>
  <si>
    <t>Additional minimum capital requirements for Securities Dealers pursuant to art. 29 par. 3 Stock Exchanges and Security Trading Ordinance (annual full costs)</t>
  </si>
  <si>
    <t xml:space="preserve">2.7
</t>
  </si>
  <si>
    <t>Increases in minimum capital requirements as per art. 4 par. 3 Banking Act and art. 29 par. 2 Stock Exchanges and Security Trading Ordinance</t>
  </si>
  <si>
    <t xml:space="preserve">2.8
</t>
  </si>
  <si>
    <t>(–) Reductions in minimum capital requirements as per art. 4 par. 3 Banking Act and art. 29 par. 2 Stock Exchanges and Security Trading Ordinance</t>
  </si>
  <si>
    <t>At single-entity level: minimum capital requirements for participations in financial sector entities to be consolidated (art. 32 let. j CAO)</t>
  </si>
  <si>
    <t>2.9.1</t>
  </si>
  <si>
    <t>250% risk-weighted (Swiss entities)</t>
  </si>
  <si>
    <t>2.9.2</t>
  </si>
  <si>
    <t>400% risk-weighted (foreign entities)</t>
  </si>
  <si>
    <t>2.9.3</t>
  </si>
  <si>
    <t>(–) Reductions as per art. 148i CAO</t>
  </si>
  <si>
    <t>2.10</t>
  </si>
  <si>
    <t>Other minimum capital requirements</t>
  </si>
  <si>
    <t>2.10.1</t>
  </si>
  <si>
    <t>Crypto assets</t>
  </si>
  <si>
    <t>2.10.2</t>
  </si>
  <si>
    <t>Floor adjustment IRB / AMA</t>
  </si>
  <si>
    <t>2.10.3</t>
  </si>
  <si>
    <t>Other capital requirements</t>
  </si>
  <si>
    <t>RWA-based capital requirements</t>
  </si>
  <si>
    <t>3.1</t>
  </si>
  <si>
    <t>Minimum capital requirements according to Capital Ordinance</t>
  </si>
  <si>
    <t>3.1.1</t>
  </si>
  <si>
    <t>CET1 requirement</t>
  </si>
  <si>
    <t>3.1.2</t>
  </si>
  <si>
    <t>T1 requirement (CET1 + AT1)</t>
  </si>
  <si>
    <t>3.1.3</t>
  </si>
  <si>
    <t>Total requirement (T1 + T2)</t>
  </si>
  <si>
    <t>3.2</t>
  </si>
  <si>
    <t>Global capital requirements, without specific requirements</t>
  </si>
  <si>
    <t>3.2.0</t>
  </si>
  <si>
    <t xml:space="preserve">3.2.1
</t>
  </si>
  <si>
    <t>CET1 requirement, according to minimum requirements + the capital conservation buffer required by art. 43 Capital Ordinance 
(incl. potential adjustment according to item 3.2.2.2)</t>
  </si>
  <si>
    <t>3.2.1.1</t>
  </si>
  <si>
    <t xml:space="preserve">   CET1 requirement for conservation buffer required by art. 43 and appendix 8 Capital Ordinance</t>
  </si>
  <si>
    <t>3.2.2.1</t>
  </si>
  <si>
    <t xml:space="preserve">   Indication of the CET1 requirement for conservation buffer according to art. 43 and appendix 8 Capital Ordinance, in percentage</t>
  </si>
  <si>
    <t>3.2.2.2</t>
  </si>
  <si>
    <t xml:space="preserve">   Indication of the adjustment to the CET1 requirement according to item 3.2.2.1 in case of a specific FINMA decree</t>
  </si>
  <si>
    <t xml:space="preserve">3.2.3
</t>
  </si>
  <si>
    <t>CET1 required for national countercyclical buffer 
(art. 44 Capital Ordinance)</t>
  </si>
  <si>
    <t>3.2.3.1</t>
  </si>
  <si>
    <t xml:space="preserve">   Pro memoria item: Amount of risk-weighted assets subject to the national countercyclical buffer requirement</t>
  </si>
  <si>
    <t>3.2.3.2</t>
  </si>
  <si>
    <t xml:space="preserve">   Pro memoria item: National countercyclical buffer (in percent): ratio of risk-weighted assets on which the national countercyclical buffer 
   (CCB) under art. 44 CAO of x% has been activated to the total of risk-weighted assets, multiplied by the effective national CCB requirement 
   of x%</t>
  </si>
  <si>
    <t>3.2.4</t>
  </si>
  <si>
    <t>CET1 required for extended countercyclical buffer under art. 44a CAO (Swiss and foreign exposures)</t>
  </si>
  <si>
    <t>3.2.4.1</t>
  </si>
  <si>
    <t xml:space="preserve">   Pro memoria item: Amount of risk-weighted assets subject to the extended countercyclical buffer requirement </t>
  </si>
  <si>
    <t>3.2.4.2</t>
  </si>
  <si>
    <t xml:space="preserve">   Pro memoria item: Indication of the effective percentage required as extended countercyclical buffer</t>
  </si>
  <si>
    <t>3.2.5</t>
  </si>
  <si>
    <t>Total CET1 global requirement (without specific requirements)</t>
  </si>
  <si>
    <t xml:space="preserve">3.2.6
</t>
  </si>
  <si>
    <t>3.2.6.1</t>
  </si>
  <si>
    <t>3.2.6.2</t>
  </si>
  <si>
    <t xml:space="preserve">   Indication of the adjustment to the AT1 requirement according to item 3.2.6.1 in case of a specific FINMA decree</t>
  </si>
  <si>
    <t xml:space="preserve">3.2.7
</t>
  </si>
  <si>
    <t>3.2.7.1</t>
  </si>
  <si>
    <t>3.2.7.2</t>
  </si>
  <si>
    <t>Indication of the adjustment to the T2 requirement according to item 3.2.7.1 in case of a specific FINMA decree</t>
  </si>
  <si>
    <t>3.3</t>
  </si>
  <si>
    <t>Specific additional requirements</t>
  </si>
  <si>
    <t>3.3.1</t>
  </si>
  <si>
    <t>Specific additional requirements pursuant to art. 4 par. 3 Banking Act and art. 29 par. 2 SESTO</t>
  </si>
  <si>
    <t>3.3.1.1</t>
  </si>
  <si>
    <t xml:space="preserve">   In form of CET1</t>
  </si>
  <si>
    <t>3.3.1.2</t>
  </si>
  <si>
    <t xml:space="preserve">   In form of AT1</t>
  </si>
  <si>
    <t>3.3.1.3</t>
  </si>
  <si>
    <t xml:space="preserve">   In form of T2</t>
  </si>
  <si>
    <t>3.3.2</t>
  </si>
  <si>
    <t>Specific additional requirements pursuant to art. 45 Capital Ordinance</t>
  </si>
  <si>
    <t>3.3.2.1</t>
  </si>
  <si>
    <t xml:space="preserve">   Of which in form of CET1</t>
  </si>
  <si>
    <t>3.3.2.2</t>
  </si>
  <si>
    <t xml:space="preserve">   Of which in form of AT1</t>
  </si>
  <si>
    <t>3.3.2.3</t>
  </si>
  <si>
    <t xml:space="preserve">   Of which in form of T2</t>
  </si>
  <si>
    <t>3.3.2.4</t>
  </si>
  <si>
    <t xml:space="preserve">   To cover risk concentrations</t>
  </si>
  <si>
    <t>3.3.2.5</t>
  </si>
  <si>
    <t xml:space="preserve">   To cover risk management issues</t>
  </si>
  <si>
    <t>3.3.2.6</t>
  </si>
  <si>
    <t xml:space="preserve">   To cover refinancing or liquidity risks</t>
  </si>
  <si>
    <t>3.3.2.7</t>
  </si>
  <si>
    <t xml:space="preserve">   To cover complex and intransparent structures of financial groups</t>
  </si>
  <si>
    <t>3.3.2.8</t>
  </si>
  <si>
    <t xml:space="preserve">   To cover other issues</t>
  </si>
  <si>
    <t>3.4</t>
  </si>
  <si>
    <t>(–) Reductions in capital requirements as per art. 4 par. 3 Banking Act and art. 29 par. 2 SESTO</t>
  </si>
  <si>
    <t>Of which:</t>
  </si>
  <si>
    <t>3.4.1</t>
  </si>
  <si>
    <t>(–) In form of CET1</t>
  </si>
  <si>
    <t>3.4.2</t>
  </si>
  <si>
    <t>(–) In form of AT1</t>
  </si>
  <si>
    <t>3.4.3</t>
  </si>
  <si>
    <t>(–) In form of T2</t>
  </si>
  <si>
    <t>3.5</t>
  </si>
  <si>
    <t>Global capital requirements, specific requirements included</t>
  </si>
  <si>
    <t>3.5.1</t>
  </si>
  <si>
    <t>Global CET1 requirement</t>
  </si>
  <si>
    <t>3.5.2</t>
  </si>
  <si>
    <t>Global Tier 1 requirement</t>
  </si>
  <si>
    <t>3.5.3</t>
  </si>
  <si>
    <t>Global total requirement (T1 + T2)</t>
  </si>
  <si>
    <t xml:space="preserve">3.6
 </t>
  </si>
  <si>
    <t>Minimum initial capital required pursuant to art. 4 Banking Ordinance and art. 22 Stock Exchanges and
Security Trading Ordinance</t>
  </si>
  <si>
    <t>3.6.1</t>
  </si>
  <si>
    <t>Minimum initial capital required as bank</t>
  </si>
  <si>
    <t>3.6.2</t>
  </si>
  <si>
    <t>Minimum initial capital required as securities dealers (without additional banking license)</t>
  </si>
  <si>
    <t xml:space="preserve">3.7
 </t>
  </si>
  <si>
    <t>Direct investments in solo-consolidated group companies and any subordinated claims on such interests 
(art. 10 par. 3 Capital Ordinance)</t>
  </si>
  <si>
    <t xml:space="preserve">4
</t>
  </si>
  <si>
    <t>Summary of eligible capital, RWA-based capital requirements and capital ratios and key metrics 
(for disclosure)</t>
  </si>
  <si>
    <t>4.1</t>
  </si>
  <si>
    <t>Eligible capital</t>
  </si>
  <si>
    <t>4.1.1</t>
  </si>
  <si>
    <t>net eligible CET1</t>
  </si>
  <si>
    <t>4.1.2</t>
  </si>
  <si>
    <t>net eligible CET1 in % RWA</t>
  </si>
  <si>
    <t>4.1.3</t>
  </si>
  <si>
    <t>net eligible AT1</t>
  </si>
  <si>
    <t>4.1.4</t>
  </si>
  <si>
    <t>net eligible AT1 in % RWA</t>
  </si>
  <si>
    <t>net eligible tier 1 (T1)</t>
  </si>
  <si>
    <t>net eligible tier 1 (T1) in % RWA</t>
  </si>
  <si>
    <t>net eligible tier 2 (T2)</t>
  </si>
  <si>
    <t>4.1.8</t>
  </si>
  <si>
    <t>net eligible tier 2 (T2) in % RWA</t>
  </si>
  <si>
    <t>4.1.9</t>
  </si>
  <si>
    <t>net eligible (total) capital</t>
  </si>
  <si>
    <t>4.1.10</t>
  </si>
  <si>
    <t>net eligible (total) capital in % RWA</t>
  </si>
  <si>
    <t xml:space="preserve">4.2 </t>
  </si>
  <si>
    <t>Minimum capital requirements</t>
  </si>
  <si>
    <t>4.2.1</t>
  </si>
  <si>
    <t>of which for credit risks</t>
  </si>
  <si>
    <t>4.2.2</t>
  </si>
  <si>
    <t>of which for non-counterparty related risks</t>
  </si>
  <si>
    <t>4.2.3</t>
  </si>
  <si>
    <t>of which for for market risks</t>
  </si>
  <si>
    <t>4.2.4</t>
  </si>
  <si>
    <t>of which for operational risks</t>
  </si>
  <si>
    <t>4.2.5</t>
  </si>
  <si>
    <t>of which for items not deducted in application of thereshold 3, but risk-weighted with 250%</t>
  </si>
  <si>
    <t>4.2.6</t>
  </si>
  <si>
    <t>of which for additional minimum capital requirements for securities dealers (annual full costs)</t>
  </si>
  <si>
    <t>4.2.7</t>
  </si>
  <si>
    <t>of which for increases/reductions required/granted in application of art. 4 par. 3 Banking Act or Art. 29 par. 2 SESTO</t>
  </si>
  <si>
    <t>4.2.8</t>
  </si>
  <si>
    <t>RWA = 12.5 * minimum capital requirements</t>
  </si>
  <si>
    <t>4.3</t>
  </si>
  <si>
    <t>Excess of capital relative to minimum requirements (4.5% for CET1, 6% for T1 and 8% for total capital)</t>
  </si>
  <si>
    <t>4.3.1</t>
  </si>
  <si>
    <t>CET1 excess</t>
  </si>
  <si>
    <t>4.3.2</t>
  </si>
  <si>
    <t>T1 excess</t>
  </si>
  <si>
    <t>4.3.3</t>
  </si>
  <si>
    <t>Capital excess</t>
  </si>
  <si>
    <t xml:space="preserve">4.4 </t>
  </si>
  <si>
    <t>Capital ratios, without taking into account the requirements covered by a capital of better quality</t>
  </si>
  <si>
    <t>4.4.1</t>
  </si>
  <si>
    <t>CET1 ratio     [to be shown in line 61 of table CC1 of circular 16/1 (revised and valid from 31.12.18 onwards)]</t>
  </si>
  <si>
    <t>4.4.2</t>
  </si>
  <si>
    <t>T1 ratio          [to be shown in line 62 of table CC1 of circular 16/1 (revised and valid from 31.12.18 onwards)]</t>
  </si>
  <si>
    <t>4.4.3</t>
  </si>
  <si>
    <t>Capital ratio   [to be shown in line 63 of table CC1 of circular 16/1 (revised and valid from 31.12.18 onwards)]</t>
  </si>
  <si>
    <t xml:space="preserve">4.5 </t>
  </si>
  <si>
    <t>Capital requirements according to Basel framework (in percent of RWA)</t>
  </si>
  <si>
    <t>4.5.1</t>
  </si>
  <si>
    <t>CET1 minimum requirement</t>
  </si>
  <si>
    <t xml:space="preserve">4.5.2
</t>
  </si>
  <si>
    <t>Conservation buffer requirement (international) 
[to be shown in line 65 of table CC1 of circular 16/1 (revised and valid from 31.12.18 onwards)]</t>
  </si>
  <si>
    <t xml:space="preserve">4.5.3
</t>
  </si>
  <si>
    <t>Countercyclical buffer requirement (converted in % of global RWA) 
[to be shown in line 66 of table CC1 of circular 16/1 (revised and valid from 31.12.18 onwards)]</t>
  </si>
  <si>
    <t xml:space="preserve">4.5.4
</t>
  </si>
  <si>
    <t>Pro memoria item: indication of international supplementary buffer for systemically important institutions 
[to be shown  in line 67 of table CC1 of circular 16/1 (revised and valid from 31.12.18 onwards)]</t>
  </si>
  <si>
    <t>4.5.5</t>
  </si>
  <si>
    <t>Total CET1 requirement (minimum + conservation buffer + countercyclical buffer)</t>
  </si>
  <si>
    <t xml:space="preserve">4.5.6
</t>
  </si>
  <si>
    <t>Institution-specific buffer requirement (capital conservation buffer plus countercyclical buffer requirements plus supplementary buffer for systemically important institutions) [to include in line 64 of table CC1 of circular 16/1 (revised and valid from 31.12.2018 onwards)]</t>
  </si>
  <si>
    <t>4.5.7</t>
  </si>
  <si>
    <t>T2 minimum requirement</t>
  </si>
  <si>
    <t>4.5.8</t>
  </si>
  <si>
    <t>of which covered by available T2 capital</t>
  </si>
  <si>
    <t>4.5.9</t>
  </si>
  <si>
    <t>of which covered by AT1 capital</t>
  </si>
  <si>
    <t>4.5.10</t>
  </si>
  <si>
    <t>of which covered by CET1 capital</t>
  </si>
  <si>
    <t>4.5.11</t>
  </si>
  <si>
    <t>AT1 minimum requirement</t>
  </si>
  <si>
    <t>4.5.12</t>
  </si>
  <si>
    <t>4.5.13</t>
  </si>
  <si>
    <t xml:space="preserve">4.5.14
</t>
  </si>
  <si>
    <t>CET1 available after meeting the bank's minimum capital requirements (%) 
[to be shown in line 68 of table CC1 of circular 16/1 (revised and valid from 31.12.18 onwards)]</t>
  </si>
  <si>
    <t xml:space="preserve">4.6 </t>
  </si>
  <si>
    <t>Capital requirements according to Capital Ordinance</t>
  </si>
  <si>
    <t xml:space="preserve">4.6.1.1
</t>
  </si>
  <si>
    <t>Total capital target (depending on bank category) + countercyclical buffer (in percent) 
[to be shown in line 68f of table CC1 of circular 16/1 (revised and valid from 31.12.18 onwards)]</t>
  </si>
  <si>
    <t xml:space="preserve">4.6.1.2
</t>
  </si>
  <si>
    <t>Total capital ratio
[to be shown in line 68g of table CC1 of circular 16/1 (revised and valid from 31.12.18 onwards)]</t>
  </si>
  <si>
    <t>4.6.1.3</t>
  </si>
  <si>
    <t>a) Total capital ratio excess (+) / shortfall (–), in percent of RWA</t>
  </si>
  <si>
    <t>4.6.2.1</t>
  </si>
  <si>
    <t xml:space="preserve">T2 capital target (depending on the category) (in percent) </t>
  </si>
  <si>
    <t>4.6.2.2</t>
  </si>
  <si>
    <t>T2 capital target effectively covered by available T2 (in percent)</t>
  </si>
  <si>
    <t>4.6.2.3</t>
  </si>
  <si>
    <t>T2 capital target covered by AT1 capital (in percent)</t>
  </si>
  <si>
    <t>4.6.2.4</t>
  </si>
  <si>
    <t>T2 capital target covered by CET1 capital (in percent)</t>
  </si>
  <si>
    <t>4.6.2.5</t>
  </si>
  <si>
    <t>AT1 capital target (depending on the category) (in percent)</t>
  </si>
  <si>
    <t>4.6.2.6</t>
  </si>
  <si>
    <t>AT1 capital target effectively covered by available AT1 capital (after deduction of AT1 capital used to cover T2 capital needs) (in percent)</t>
  </si>
  <si>
    <t>4.6.2.7</t>
  </si>
  <si>
    <t>AT1 capital target covered by CET1 capital (in percent)</t>
  </si>
  <si>
    <t xml:space="preserve">4.6.2.8
</t>
  </si>
  <si>
    <t>T1 capital target (depending on the category) + countercyclical buffer (in percent) 
[to be shown in line 68d of table CC1 of circular 16/1 (revised and valid from 31.12.18 onwards)]</t>
  </si>
  <si>
    <t xml:space="preserve">4.6.2.9
</t>
  </si>
  <si>
    <t>Available AT1 &amp; CET1 capital to meet T1 capital target + countercyclical buffer (after deduction of AT1 capital and CET1 capital used 
to cover T2 capital needs) (in percent) [to be shown in line 68e of table CC1 of circular 16/1 (revised and valid from 31.12.18 onwards)]</t>
  </si>
  <si>
    <t>4.6.2.10</t>
  </si>
  <si>
    <t>b) T1 capital ratio excess (+) / shortfall (–), in percent of RWA</t>
  </si>
  <si>
    <t xml:space="preserve">4.6.3.1
</t>
  </si>
  <si>
    <t>CET1 capital target (depending on the category) + countercyclical buffer (in percent) 
[to be shown in line 68a of table CC1 of circular 16/1 (revised and valid from 31.12.18 onwards)]</t>
  </si>
  <si>
    <t xml:space="preserve">4.6.3.1a
</t>
  </si>
  <si>
    <t>Of which countercyclical buffer according to Art. 44 and 44a CAO
[to be shown in line 68b of table CC1 of circular 16/1 (revised and valid from 31.12.18 onwards)]</t>
  </si>
  <si>
    <t xml:space="preserve">4.6.3.2
</t>
  </si>
  <si>
    <t>Available CET1 capital to meet CET1 target + countercyclical buffer (after deduction of CET1 capital used to cover T2 and AT1 capital needs) 
[to include in line 68c of table CC1 of circular 16/1 (revised and valid from 31.12.18 onwards)]</t>
  </si>
  <si>
    <t>4.6.3.3</t>
  </si>
  <si>
    <t>c) CET1 capital ratio excess (+) / shortfall (–), in percent of RWA</t>
  </si>
  <si>
    <t xml:space="preserve">4.6.4.1
</t>
  </si>
  <si>
    <t>d) Excess (+) / Shortfall of available capital vs. required capital (in CHF) before additional individual capital requirements (Pillar 2 or Banking Act or SESTO)</t>
  </si>
  <si>
    <t>4.6.4.2</t>
  </si>
  <si>
    <t>CET1 requirements exceeded (+) / failed (–) by (in CHF)</t>
  </si>
  <si>
    <t>4.6.4.3</t>
  </si>
  <si>
    <t>T1 requirements exceeded (+) / failed (–) by (in CHF)</t>
  </si>
  <si>
    <t>4.6.4.4</t>
  </si>
  <si>
    <t>Total capital requirements exceeded (+) / failed (–) by (in CHF)</t>
  </si>
  <si>
    <t>4.6.5.1</t>
  </si>
  <si>
    <t>e) Additional individual capital requirements (in CHF)  (Pillar 2 or Banking Act or SESTO)</t>
  </si>
  <si>
    <t>4.6.5.2</t>
  </si>
  <si>
    <t>in form of CET1 capital</t>
  </si>
  <si>
    <t>4.6.5.3</t>
  </si>
  <si>
    <t>in form of AT1 capital</t>
  </si>
  <si>
    <t>4.6.5.4</t>
  </si>
  <si>
    <t>in form of T2 capital</t>
  </si>
  <si>
    <t>4.6.6.1</t>
  </si>
  <si>
    <t>f) Remaining capital surplus after additional capital requirements (in CHF)</t>
  </si>
  <si>
    <t>4.6.6.2</t>
  </si>
  <si>
    <t>CET1 residual excess (+) / shortfall (–)</t>
  </si>
  <si>
    <t>4.6.6.3</t>
  </si>
  <si>
    <t>T1 residual excess (+) / shortfall (–)</t>
  </si>
  <si>
    <t>4.6.6.4</t>
  </si>
  <si>
    <t>Total capital residual excess (+) / shortfall (–)</t>
  </si>
  <si>
    <t>4.6.7.1</t>
  </si>
  <si>
    <t>g) Capital used to cover excess on limits for participations (in CHF)</t>
  </si>
  <si>
    <t>4.6.7.2</t>
  </si>
  <si>
    <t>covered by CET1 capital excess</t>
  </si>
  <si>
    <t>4.6.7.3</t>
  </si>
  <si>
    <t>covered by AT1 capital excess</t>
  </si>
  <si>
    <t>4.6.7.4</t>
  </si>
  <si>
    <t>covered by T2 capital excess</t>
  </si>
  <si>
    <t>4.6.8.1</t>
  </si>
  <si>
    <t>h) Remaining surplus of capital after consideration of coverage of excess on limits for participations (in CHF)</t>
  </si>
  <si>
    <t>4.6.8.2</t>
  </si>
  <si>
    <t>4.6.8.3</t>
  </si>
  <si>
    <t>4.6.8.4</t>
  </si>
  <si>
    <t>Key metrics for disclosure</t>
  </si>
  <si>
    <t>4.7.1</t>
  </si>
  <si>
    <t xml:space="preserve">        Available capital (amounts)</t>
  </si>
  <si>
    <t>4.7.2</t>
  </si>
  <si>
    <t>1       Common Equity Tier 1 (CET1)</t>
  </si>
  <si>
    <t>4.7.3</t>
  </si>
  <si>
    <t>1a     Fully loaded ECL accounting model CET1</t>
  </si>
  <si>
    <t>4.7.4</t>
  </si>
  <si>
    <t>2       Tier 1</t>
  </si>
  <si>
    <t>4.7.5</t>
  </si>
  <si>
    <t>2a     Fully loaded ECL accounting model Tier 1</t>
  </si>
  <si>
    <t>4.7.6</t>
  </si>
  <si>
    <t>3       Total capital</t>
  </si>
  <si>
    <t>4.7.7</t>
  </si>
  <si>
    <t>3a     Fully loaded ECL accounting model Total capital</t>
  </si>
  <si>
    <t>4.7.8</t>
  </si>
  <si>
    <t xml:space="preserve">         Risk-weighted assets (amounts)</t>
  </si>
  <si>
    <t>4.7.9</t>
  </si>
  <si>
    <t>4       Total risk-weighted assets (RWA)</t>
  </si>
  <si>
    <t xml:space="preserve">4.7.10
</t>
  </si>
  <si>
    <t>4.7.11</t>
  </si>
  <si>
    <t xml:space="preserve">         Risk-based capital ratios (as a percentage % of RWA)</t>
  </si>
  <si>
    <t>4.7.12</t>
  </si>
  <si>
    <t>5       CET1 ratio (%)</t>
  </si>
  <si>
    <t>4.7.13</t>
  </si>
  <si>
    <t>5a      Fully loaded ECL accounting model Common Equity Tier 1 (%)</t>
  </si>
  <si>
    <t>4.7.14</t>
  </si>
  <si>
    <t>6       T1 ratio (%)</t>
  </si>
  <si>
    <t>4.7.15</t>
  </si>
  <si>
    <t>6a     Fully loaded ECL accounting model Tier 1 ratio (%)</t>
  </si>
  <si>
    <t>4.7.16</t>
  </si>
  <si>
    <t>7       Total capital ratio (%)</t>
  </si>
  <si>
    <t>4.7.17</t>
  </si>
  <si>
    <t>7a      Fully loaded ECL accounting model total capital ratio (%)</t>
  </si>
  <si>
    <t>4.7.18</t>
  </si>
  <si>
    <t xml:space="preserve">          Additional CET1 requirements (buffers) as a percentage of RWA</t>
  </si>
  <si>
    <t>4.7.19</t>
  </si>
  <si>
    <t>8        Capital conservation buffer requirement according to Basel minimum requirements (%)</t>
  </si>
  <si>
    <t>4.7.20</t>
  </si>
  <si>
    <t>9        Countercyclical buffer requirement according to Basel minimum requirements (%)</t>
  </si>
  <si>
    <t>4.7.21</t>
  </si>
  <si>
    <t>10      Bank G-SIB and/or D-SIB additional requirements</t>
  </si>
  <si>
    <t>4.7.22</t>
  </si>
  <si>
    <t xml:space="preserve">11      Total of bank CET1 specific buffer requirements according to Basel minimum requirements (%) </t>
  </si>
  <si>
    <t>4.7.23</t>
  </si>
  <si>
    <t xml:space="preserve">12      CET1 available after meeting the bank’s minimum capital requirements (%) </t>
  </si>
  <si>
    <t>4.7.24</t>
  </si>
  <si>
    <t xml:space="preserve">         Target capital ratios according to Annex 8 of the Capital Adequacy Ordinance (CAO) (% of RWA)</t>
  </si>
  <si>
    <t>4.7.25</t>
  </si>
  <si>
    <t>12a   Capital conservation buffer according to CAO, Annex 8 (%)</t>
  </si>
  <si>
    <t>4.7.26</t>
  </si>
  <si>
    <t>12b   Countercyclical capital buffer according to CAO, Art. 44 and Art. 44a (%)</t>
  </si>
  <si>
    <t>4.7.27</t>
  </si>
  <si>
    <t>12c   CET1 capital target (%) according to CAO, Annex 8 + countercyclical buffer according to CAO, Art. 44 and 44a</t>
  </si>
  <si>
    <t>4.7.28</t>
  </si>
  <si>
    <t>12d   T1 capital target according to CAO, Annex 8 + countercyclical buffer according to CAO, Art. 44 and 44a</t>
  </si>
  <si>
    <t>4.7.29</t>
  </si>
  <si>
    <t>12e   Total capital target according to CAO, Annex 8 + contercyclical buffer according to CAO, Art. 44 and 44a</t>
  </si>
  <si>
    <t>4.7.30</t>
  </si>
  <si>
    <t xml:space="preserve">        Basel III Leverage Ratio</t>
  </si>
  <si>
    <t>4.7.31</t>
  </si>
  <si>
    <t>13    Total Basel III leverage ratio exposure measure (CHF)</t>
  </si>
  <si>
    <t>4.7.32</t>
  </si>
  <si>
    <t>14    Basel IIII Leverage Ratio</t>
  </si>
  <si>
    <t>4.7.33</t>
  </si>
  <si>
    <t>14a   Fully loaded ECL accounting model Basel III leverage ratio (%)</t>
  </si>
  <si>
    <t xml:space="preserve">4.7.34
</t>
  </si>
  <si>
    <t>The bank / securities dealer confirms that the values stated above (with the exception of row 4a) correspond / will correspond to published values and takes note that these values may be published by FINMA as part of its Key Metrics disclosure. Enter "Y" if confirmed, otherwise enter "N".</t>
  </si>
  <si>
    <t>5</t>
  </si>
  <si>
    <t>Other memorandum items</t>
  </si>
  <si>
    <t>5.1</t>
  </si>
  <si>
    <t>Amounts below thresholds</t>
  </si>
  <si>
    <t>5.1.1</t>
  </si>
  <si>
    <t>Non-qualifying investments in the common stocks of other financial entities (threshold 1)</t>
  </si>
  <si>
    <t>5.1.1.1</t>
  </si>
  <si>
    <t xml:space="preserve">   CET1 instruments</t>
  </si>
  <si>
    <t>5.1.1.2</t>
  </si>
  <si>
    <t xml:space="preserve">   AT1 instruments</t>
  </si>
  <si>
    <t>5.1.1.3</t>
  </si>
  <si>
    <t xml:space="preserve">   T2 instruments</t>
  </si>
  <si>
    <t>5.1.2</t>
  </si>
  <si>
    <t>Qualifying investments in the common stocks of other financial entities (CET1) (thresholds 2 and 3)</t>
  </si>
  <si>
    <t>5.1.3</t>
  </si>
  <si>
    <t>Mortgage servicing rights (net of related tax liabilities) (thresholds 2 and 3)</t>
  </si>
  <si>
    <t>5.1.4</t>
  </si>
  <si>
    <t>Deferred tax assets arising from temporary differences (net of related tax liabilities) (thresholds 2 and 3)</t>
  </si>
  <si>
    <t>5.3</t>
  </si>
  <si>
    <t>Capital required to cover excess on limits for participations</t>
  </si>
  <si>
    <t xml:space="preserve">5.4
</t>
  </si>
  <si>
    <t>Capital requirements for mortgage loans that do not comply with the SBA guidelines (as per art. 72 CAO)</t>
  </si>
  <si>
    <t>move to RWA_01</t>
  </si>
  <si>
    <t xml:space="preserve">5.5
 </t>
  </si>
  <si>
    <t>Internal assessment surplus (+) / deficit (–) of capital
(art. 45 Capital Ordinance)</t>
  </si>
  <si>
    <t>tbd</t>
  </si>
  <si>
    <t>5.5.1</t>
  </si>
  <si>
    <t>Internal assessment of capital</t>
  </si>
  <si>
    <t>5.5.2</t>
  </si>
  <si>
    <t>Internal assessment of capital needs</t>
  </si>
  <si>
    <t xml:space="preserve">5.6
 </t>
  </si>
  <si>
    <t>Surplus (+) or deficit (–) in relation to capitalisation as a condition of solo-consolidation
(art. 10 par. 3 Capital Ordinance)</t>
  </si>
  <si>
    <t xml:space="preserve">5.7
 </t>
  </si>
  <si>
    <t>Institution-specific market risk multiplier
(art. 88 par. 3 Capital Ordinance)</t>
  </si>
  <si>
    <t>zu MKR_BIS verschieben</t>
  </si>
  <si>
    <t>5.7.1</t>
  </si>
  <si>
    <t>For the VaR</t>
  </si>
  <si>
    <t>5.7.2</t>
  </si>
  <si>
    <t>For the stressed VaR</t>
  </si>
  <si>
    <t>(1)</t>
  </si>
  <si>
    <t>Convention on signs: Any amount that increases the own funds or the capital requirements will be reported as a positive figure. On the contrary,</t>
  </si>
  <si>
    <t>any amount that reduces the total own funds or the capital requirements will be reported as a negative figure. Where there is a negative sign (–)</t>
  </si>
  <si>
    <t>preceding the label of an item no positive figure is expected to be reported for that item.</t>
  </si>
  <si>
    <t>3.03.E0</t>
  </si>
  <si>
    <t>P_CASABISIRB_CAP</t>
  </si>
  <si>
    <t>Capital sheet - Eligible capital</t>
  </si>
  <si>
    <t>Leverage Ratio Exposure 
(art. 46 Capital Ordinance)</t>
  </si>
  <si>
    <t>Total Exposure for the Basel III leverage ratio (LRD)</t>
  </si>
  <si>
    <t>(+/-) Adjustments to leverage ratio exposure as reported in LERA</t>
  </si>
  <si>
    <t>P_CASABISIRB_REQ</t>
  </si>
  <si>
    <t>Capital sheet - Capital requirements</t>
  </si>
  <si>
    <t>3.8</t>
  </si>
  <si>
    <t>Capital requirements based on leverage ratio exposure</t>
  </si>
  <si>
    <t>P_CASABISIRB_RAT</t>
  </si>
  <si>
    <t>Capital sheet - Capital ratios</t>
  </si>
  <si>
    <t>4.x</t>
  </si>
  <si>
    <t>net eligible tier 1 (T1) in % Leverage Ratio exposure</t>
  </si>
  <si>
    <t>Excess of capital relative to capital requirements based on leverage ratio exposure (3%)</t>
  </si>
  <si>
    <t>Sum of the net positions by emission</t>
  </si>
  <si>
    <t>Total before application of scaling factor</t>
  </si>
  <si>
    <t>Total after application of scaling factor</t>
  </si>
  <si>
    <t>Market risk of commodities</t>
  </si>
  <si>
    <t>P_MKR_BIS_SSA</t>
  </si>
  <si>
    <t>Requirements for options according to the simplified approach</t>
  </si>
  <si>
    <t>Requirements for options according to the scenario analysis approach</t>
  </si>
  <si>
    <t>Specific risk of equity</t>
  </si>
  <si>
    <t>General market risk of equity</t>
  </si>
  <si>
    <t>Equity risk</t>
  </si>
  <si>
    <t>Requirements for equity options</t>
  </si>
  <si>
    <t>General market risk of interest rate instruments</t>
  </si>
  <si>
    <t>Specific risk of interest rate instruments</t>
  </si>
  <si>
    <t>Requirements for options on interest rate instuments</t>
  </si>
  <si>
    <t>Currencies</t>
  </si>
  <si>
    <t>Trading book (art. 5 Capital Ordinance)</t>
  </si>
  <si>
    <t>P_MKR_BIS_SA</t>
  </si>
  <si>
    <t>General interest rate risk</t>
  </si>
  <si>
    <t>Commodity risk</t>
  </si>
  <si>
    <t>Foreign exchange risk</t>
  </si>
  <si>
    <t>Credit spread risk – non-securitisations</t>
  </si>
  <si>
    <t>Credit spread risk – securitisations (non-correlation trading portfolio)</t>
  </si>
  <si>
    <t>Credit spread risk – securitisation (correlation trading portfolio)</t>
  </si>
  <si>
    <t>Residual risk add-on</t>
  </si>
  <si>
    <t>Delta</t>
  </si>
  <si>
    <t>Vega</t>
  </si>
  <si>
    <t>Curvature</t>
  </si>
  <si>
    <t>Market risk: Simple Standardised Approach</t>
  </si>
  <si>
    <t>Low correlations</t>
  </si>
  <si>
    <t>Medium correlations</t>
  </si>
  <si>
    <t>High correlations</t>
  </si>
  <si>
    <t>Default risk capital requirement (DRC)</t>
  </si>
  <si>
    <t xml:space="preserve">Non-securitisation </t>
  </si>
  <si>
    <t xml:space="preserve">Corporates </t>
  </si>
  <si>
    <t>Local governments and municipalities</t>
  </si>
  <si>
    <t>Securitisation (non-CTP)</t>
  </si>
  <si>
    <t>Securitisation (CTP)</t>
  </si>
  <si>
    <t>P_MKR_BIS_IMA</t>
  </si>
  <si>
    <t>Market risk: Internal Models Approach</t>
  </si>
  <si>
    <t>Unconstrained expected shortfall</t>
  </si>
  <si>
    <t>ES for general interest rate risk</t>
  </si>
  <si>
    <t>ES for equity risk</t>
  </si>
  <si>
    <t>ES for commodity risk</t>
  </si>
  <si>
    <t>ES for credit spread risk</t>
  </si>
  <si>
    <t>Constrained expected shortfall</t>
  </si>
  <si>
    <t>Most recent value</t>
  </si>
  <si>
    <t>Average over last quarter</t>
  </si>
  <si>
    <t>Hightest value of last quarter</t>
  </si>
  <si>
    <t>Lowest value of last quarter</t>
  </si>
  <si>
    <t>IMCC (0.5*Unconstrained ES+0.5*constrained risk class ES)</t>
  </si>
  <si>
    <t>Capital surcharge for amber trading desks</t>
  </si>
  <si>
    <t>Capital requirements for green and amber trading desks (including capital surcharge)</t>
  </si>
  <si>
    <t>Difference in capital requirements under the IMA and SA for green and amber trading desks</t>
  </si>
  <si>
    <t>SA capital requirements for all trading desks (including those subject to IMA)</t>
  </si>
  <si>
    <t>Number of backtesting exceptions</t>
  </si>
  <si>
    <t>Value</t>
  </si>
  <si>
    <t>Minimum requirements for market risks according to the internal models approach</t>
  </si>
  <si>
    <t>Multiplication factor</t>
  </si>
  <si>
    <t>k (MAR33.45)</t>
  </si>
  <si>
    <t>Total SA Capital requirements for trading desks ineligible to use the IMA as reported in P_MKR_BIS_SA.MELD</t>
  </si>
  <si>
    <r>
      <t>C</t>
    </r>
    <r>
      <rPr>
        <vertAlign val="subscript"/>
        <sz val="10"/>
        <color theme="1"/>
        <rFont val="Arial"/>
        <family val="2"/>
      </rPr>
      <t>A</t>
    </r>
    <r>
      <rPr>
        <sz val="10"/>
        <color theme="1"/>
        <rFont val="Arial"/>
        <family val="2"/>
      </rPr>
      <t>: Aggregate (non-DRC) capital requirement for those trading desks approved and eligible for the IMA (MAR33.41)</t>
    </r>
  </si>
  <si>
    <t>1.</t>
  </si>
  <si>
    <t>2.</t>
  </si>
  <si>
    <t>2.1</t>
  </si>
  <si>
    <t>RWA</t>
  </si>
  <si>
    <r>
      <t xml:space="preserve">   </t>
    </r>
    <r>
      <rPr>
        <strike/>
        <sz val="10"/>
        <color rgb="FFFF0000"/>
        <rFont val="Arial"/>
        <family val="2"/>
      </rPr>
      <t>Standardised</t>
    </r>
    <r>
      <rPr>
        <sz val="10"/>
        <rFont val="Arial"/>
        <family val="2"/>
      </rPr>
      <t xml:space="preserve"> Basic approach </t>
    </r>
    <r>
      <rPr>
        <sz val="10"/>
        <color rgb="FFFF0000"/>
        <rFont val="Arial"/>
        <family val="2"/>
      </rPr>
      <t>(BA-CVA)</t>
    </r>
  </si>
  <si>
    <r>
      <t xml:space="preserve">   Advanced approach </t>
    </r>
    <r>
      <rPr>
        <sz val="10"/>
        <color rgb="FFFF0000"/>
        <rFont val="Arial"/>
        <family val="2"/>
      </rPr>
      <t>(F-CVA)</t>
    </r>
  </si>
  <si>
    <t>2.3</t>
  </si>
  <si>
    <t>2.3.5</t>
  </si>
  <si>
    <t>3.</t>
  </si>
  <si>
    <t>4.</t>
  </si>
  <si>
    <t>4.2</t>
  </si>
  <si>
    <t>2.6</t>
  </si>
  <si>
    <t>4.4</t>
  </si>
  <si>
    <t>4.5</t>
  </si>
  <si>
    <t>4.6</t>
  </si>
  <si>
    <t>4.7</t>
  </si>
  <si>
    <t>5.</t>
  </si>
  <si>
    <t>5.2</t>
  </si>
  <si>
    <t>6.</t>
  </si>
  <si>
    <t>6.1</t>
  </si>
  <si>
    <t>6.2</t>
  </si>
  <si>
    <t>6.3</t>
  </si>
  <si>
    <t>6.4</t>
  </si>
  <si>
    <t>Requirements for options according to the delta-plus method</t>
  </si>
  <si>
    <t>1.2.3</t>
  </si>
  <si>
    <t>1.2.5</t>
  </si>
  <si>
    <t>ES for foreign exchange risk</t>
  </si>
  <si>
    <t>1.8</t>
  </si>
  <si>
    <t>1.9</t>
  </si>
  <si>
    <t>1.10</t>
  </si>
  <si>
    <t>1.11</t>
  </si>
  <si>
    <r>
      <t xml:space="preserve">(-) Adjustment for fiduciary assets </t>
    </r>
    <r>
      <rPr>
        <sz val="10"/>
        <color rgb="FFFF0000"/>
        <rFont val="Arial"/>
        <family val="2"/>
      </rPr>
      <t>pursuant to the operative accounting framework but excluded from the leverage ratio exposure measure</t>
    </r>
  </si>
  <si>
    <t>(-) Adjustment for investments in banking, financial, insurance or commercial entities that are consolidated for accounting purposes but outside the scope of regulatory consolidation</t>
  </si>
  <si>
    <t>(-) Adjustment for securitised exposures that meet the operational requirements for the recognition of risk transference</t>
  </si>
  <si>
    <t>(+/-) Adjustments for eligible cash pooling transactions</t>
  </si>
  <si>
    <t>(-) Adjustments for prudent valuation adjustments and specific and general provisions which have reduced Tier 1 capital</t>
  </si>
  <si>
    <t>(-) Specific and general provisions associated with off-balance sheet exposures deducted in determining Tier 1 capital</t>
  </si>
  <si>
    <t>2.1.3</t>
  </si>
  <si>
    <t>2.1.4</t>
  </si>
  <si>
    <r>
      <t xml:space="preserve">(-) Asset amounts deducted from Basel III Tier 1 capital </t>
    </r>
    <r>
      <rPr>
        <sz val="10"/>
        <color rgb="FFFF0000"/>
        <rFont val="Arial"/>
        <family val="2"/>
      </rPr>
      <t>and other regulatory adjustments to on-balance sheet assets</t>
    </r>
  </si>
  <si>
    <t>(+) Gross-up for derivatives collateral provided where deducted from balance sheet assets pursuant to the operative accounting framework</t>
  </si>
  <si>
    <t>(-) Deductions of receivable assets for cash variation margin provided in derivatives transactions</t>
  </si>
  <si>
    <t>(-) Adjustment for securities received under securities financing transactions that are recognised as an asset</t>
  </si>
  <si>
    <t>(-) Specific and general provisions associated with on-balance sheet exposures that are deducted from Tier 1 capital</t>
  </si>
  <si>
    <t>Of which: (+) Gross SFT assets</t>
  </si>
  <si>
    <t>Of which: (-) Netted amounts of cash payables and cash receivables of gross SFT assets</t>
  </si>
  <si>
    <t>Of which: (+) Counterparty credit risk exposure for SFT assets</t>
  </si>
  <si>
    <t>Of which: (+) Agent transaction exposures</t>
  </si>
  <si>
    <t>of which: on balance</t>
  </si>
  <si>
    <t>of which: off balance</t>
  </si>
  <si>
    <t>of which: counterparty credit risk (CCR)</t>
  </si>
  <si>
    <t>Derivatives</t>
  </si>
  <si>
    <t>From Contractual Cross Product Netting</t>
  </si>
  <si>
    <t>EAD (post-CRM)</t>
  </si>
  <si>
    <t>Exposures to QCCPs (total)</t>
  </si>
  <si>
    <t>Exposures for trades at QCCPs (excluding initial margin and default fund contributions); of which</t>
  </si>
  <si>
    <t>(i) OTC derivatives</t>
  </si>
  <si>
    <t>(ii) Exchange-traded derivatives</t>
  </si>
  <si>
    <t>(iii) Securities financing transactions</t>
  </si>
  <si>
    <t>(iv) Netting sets where cross-product netting has been approved</t>
  </si>
  <si>
    <t>Segregated initial margin</t>
  </si>
  <si>
    <t>Non-segregated initial margin</t>
  </si>
  <si>
    <t>Pre-funded default fund contributions</t>
  </si>
  <si>
    <t>Unfunded default fund contributions</t>
  </si>
  <si>
    <t>Exposures to non-QCCPs (total)</t>
  </si>
  <si>
    <t>Exposures for trades at non-QCCPs (excluding initial margin and default fund contributions); of which</t>
  </si>
  <si>
    <t>Exposures to Central Counterparties</t>
  </si>
  <si>
    <r>
      <t xml:space="preserve">      Sovereigns</t>
    </r>
    <r>
      <rPr>
        <sz val="10"/>
        <color rgb="FFFF0000"/>
        <rFont val="Arial"/>
        <family val="2"/>
      </rPr>
      <t>, Central banks and Supranational Organisations</t>
    </r>
    <r>
      <rPr>
        <sz val="10"/>
        <rFont val="Arial"/>
        <family val="2"/>
      </rPr>
      <t xml:space="preserve">
      (art. 63 par. 2 let. a Capital Ordinance)</t>
    </r>
  </si>
  <si>
    <r>
      <t xml:space="preserve">      </t>
    </r>
    <r>
      <rPr>
        <strike/>
        <sz val="10"/>
        <color rgb="FFFF0000"/>
        <rFont val="Arial"/>
        <family val="2"/>
      </rPr>
      <t>Institutions</t>
    </r>
    <r>
      <rPr>
        <sz val="10"/>
        <color rgb="FFFF0000"/>
        <rFont val="Arial"/>
        <family val="2"/>
      </rPr>
      <t xml:space="preserve"> Public Sector Entities
         (art. 63 par. 2 let. b Capital Ordinance)</t>
    </r>
  </si>
  <si>
    <r>
      <t xml:space="preserve">      Banks </t>
    </r>
    <r>
      <rPr>
        <strike/>
        <sz val="10"/>
        <color rgb="FFFF0000"/>
        <rFont val="Arial"/>
        <family val="2"/>
      </rPr>
      <t>and securities dealers</t>
    </r>
    <r>
      <rPr>
        <sz val="10"/>
        <rFont val="Arial"/>
        <family val="2"/>
      </rPr>
      <t xml:space="preserve">
      (art. 63 par. 2 let. d Capital Ordinance, art. 68 Capital Ordinance)</t>
    </r>
  </si>
  <si>
    <t xml:space="preserve">    Multilateral Development Banks
         (art. 63 par. 2 let. c Capital Ordinance)</t>
  </si>
  <si>
    <r>
      <t xml:space="preserve">      Corporates</t>
    </r>
    <r>
      <rPr>
        <sz val="10"/>
        <color rgb="FFFF0000"/>
        <rFont val="Arial"/>
        <family val="2"/>
      </rPr>
      <t xml:space="preserve"> (incl. Specialised Lending)</t>
    </r>
    <r>
      <rPr>
        <sz val="10"/>
        <rFont val="Arial"/>
        <family val="2"/>
      </rPr>
      <t xml:space="preserve">
      (art. 63 par. 2 let. f</t>
    </r>
    <r>
      <rPr>
        <sz val="10"/>
        <color rgb="FFFF0000"/>
        <rFont val="Arial"/>
        <family val="2"/>
      </rPr>
      <t xml:space="preserve"> </t>
    </r>
    <r>
      <rPr>
        <sz val="10"/>
        <rFont val="Arial"/>
        <family val="2"/>
      </rPr>
      <t>and</t>
    </r>
    <r>
      <rPr>
        <sz val="10"/>
        <color rgb="FFFF0000"/>
        <rFont val="Arial"/>
        <family val="2"/>
      </rPr>
      <t xml:space="preserve"> </t>
    </r>
    <r>
      <rPr>
        <strike/>
        <sz val="10"/>
        <color rgb="FFFF0000"/>
        <rFont val="Arial"/>
        <family val="2"/>
      </rPr>
      <t>g</t>
    </r>
    <r>
      <rPr>
        <sz val="10"/>
        <color rgb="FFFF0000"/>
        <rFont val="Arial"/>
        <family val="2"/>
      </rPr>
      <t>h</t>
    </r>
    <r>
      <rPr>
        <sz val="10"/>
        <rFont val="Arial"/>
        <family val="2"/>
      </rPr>
      <t xml:space="preserve"> Capital Ordinance,</t>
    </r>
    <r>
      <rPr>
        <strike/>
        <sz val="10"/>
        <color rgb="FFFF0000"/>
        <rFont val="Arial"/>
        <family val="2"/>
      </rPr>
      <t xml:space="preserve"> art. 63 par. 3 let. b Capital Ordinance, </t>
    </r>
    <r>
      <rPr>
        <sz val="10"/>
        <rFont val="Arial"/>
        <family val="2"/>
      </rPr>
      <t xml:space="preserve">art. </t>
    </r>
    <r>
      <rPr>
        <sz val="10"/>
        <color rgb="FFFF0000"/>
        <rFont val="Arial"/>
        <family val="2"/>
      </rPr>
      <t xml:space="preserve">70 and 71c </t>
    </r>
    <r>
      <rPr>
        <strike/>
        <sz val="10"/>
        <color rgb="FFFF0000"/>
        <rFont val="Arial"/>
        <family val="2"/>
      </rPr>
      <t>69 and 71</t>
    </r>
    <r>
      <rPr>
        <sz val="10"/>
        <rFont val="Arial"/>
        <family val="2"/>
      </rPr>
      <t xml:space="preserve"> Capital Ordinance)</t>
    </r>
  </si>
  <si>
    <t xml:space="preserve">   250% risk-weighted (Swiss entities)</t>
  </si>
  <si>
    <t xml:space="preserve">   400% risk-weighted (foreign entities)</t>
  </si>
  <si>
    <r>
      <t xml:space="preserve">     </t>
    </r>
    <r>
      <rPr>
        <sz val="10"/>
        <color rgb="FFFF0000"/>
        <rFont val="Arial"/>
        <family val="2"/>
      </rPr>
      <t xml:space="preserve"> Subordinated debt and </t>
    </r>
    <r>
      <rPr>
        <sz val="10"/>
        <rFont val="Arial"/>
        <family val="2"/>
      </rPr>
      <t xml:space="preserve">Equity
      (art. 63 par. 3 let. </t>
    </r>
    <r>
      <rPr>
        <sz val="10"/>
        <color rgb="FFFF0000"/>
        <rFont val="Arial"/>
        <family val="2"/>
      </rPr>
      <t>d and</t>
    </r>
    <r>
      <rPr>
        <sz val="10"/>
        <rFont val="Arial"/>
        <family val="2"/>
      </rPr>
      <t xml:space="preserve"> f Capital Ordinance, </t>
    </r>
    <r>
      <rPr>
        <sz val="10"/>
        <color rgb="FFFF0000"/>
        <rFont val="Arial"/>
        <family val="2"/>
      </rPr>
      <t>as well as Article 73 and Annex 4 items 1.1 or 1.2 Capital Ordinance</t>
    </r>
    <r>
      <rPr>
        <sz val="10"/>
        <rFont val="Arial"/>
        <family val="2"/>
      </rPr>
      <t>)</t>
    </r>
  </si>
  <si>
    <r>
      <t>Of which: At single-entity level: minimum capital requirements for participations in financial sector entities to be consolidated (</t>
    </r>
    <r>
      <rPr>
        <sz val="10"/>
        <color rgb="FFFF0000"/>
        <rFont val="Arial"/>
        <family val="2"/>
      </rPr>
      <t>Article 73 and Annex 4 items 1.1 or 1.2 Capital Ordinance</t>
    </r>
    <r>
      <rPr>
        <strike/>
        <sz val="10"/>
        <color rgb="FFFF0000"/>
        <rFont val="Arial"/>
        <family val="2"/>
      </rPr>
      <t>art. 32 let. j CAO</t>
    </r>
    <r>
      <rPr>
        <sz val="10"/>
        <rFont val="Arial"/>
        <family val="2"/>
      </rPr>
      <t>)</t>
    </r>
  </si>
  <si>
    <r>
      <t xml:space="preserve">      Sovereigns</t>
    </r>
    <r>
      <rPr>
        <strike/>
        <sz val="10"/>
        <color rgb="FFFF0000"/>
        <rFont val="Arial"/>
        <family val="2"/>
      </rPr>
      <t xml:space="preserve"> </t>
    </r>
    <r>
      <rPr>
        <b/>
        <strike/>
        <sz val="10"/>
        <color rgb="FFFF0000"/>
        <rFont val="Arial"/>
        <family val="2"/>
      </rPr>
      <t>(before IRB scaling factor)</t>
    </r>
  </si>
  <si>
    <r>
      <t xml:space="preserve">      Corporates</t>
    </r>
    <r>
      <rPr>
        <strike/>
        <sz val="10"/>
        <color rgb="FFFF0000"/>
        <rFont val="Arial"/>
        <family val="2"/>
      </rPr>
      <t xml:space="preserve"> </t>
    </r>
    <r>
      <rPr>
        <b/>
        <strike/>
        <sz val="10"/>
        <color rgb="FFFF0000"/>
        <rFont val="Arial"/>
        <family val="2"/>
      </rPr>
      <t>(before IRB scaling factor)</t>
    </r>
  </si>
  <si>
    <r>
      <t xml:space="preserve">         Corporates: specialised lending</t>
    </r>
    <r>
      <rPr>
        <strike/>
        <sz val="10"/>
        <color rgb="FFFF0000"/>
        <rFont val="Arial"/>
        <family val="2"/>
      </rPr>
      <t xml:space="preserve"> </t>
    </r>
    <r>
      <rPr>
        <b/>
        <strike/>
        <sz val="10"/>
        <color rgb="FFFF0000"/>
        <rFont val="Arial"/>
        <family val="2"/>
      </rPr>
      <t>(before IRB scaling factor)</t>
    </r>
  </si>
  <si>
    <r>
      <t xml:space="preserve">         Corporates without specialised lending </t>
    </r>
    <r>
      <rPr>
        <b/>
        <strike/>
        <sz val="10"/>
        <color rgb="FFFF0000"/>
        <rFont val="Arial"/>
        <family val="2"/>
      </rPr>
      <t>(before IRB scaling factor)</t>
    </r>
  </si>
  <si>
    <r>
      <t xml:space="preserve">      Retail </t>
    </r>
    <r>
      <rPr>
        <b/>
        <strike/>
        <sz val="10"/>
        <color rgb="FFFF0000"/>
        <rFont val="Arial"/>
        <family val="2"/>
      </rPr>
      <t>(before IRB scaling factor)</t>
    </r>
  </si>
  <si>
    <r>
      <t xml:space="preserve">         Retail exposures, secured by real estate</t>
    </r>
    <r>
      <rPr>
        <strike/>
        <sz val="10"/>
        <color rgb="FFFF0000"/>
        <rFont val="Arial"/>
        <family val="2"/>
      </rPr>
      <t xml:space="preserve"> </t>
    </r>
    <r>
      <rPr>
        <b/>
        <strike/>
        <sz val="10"/>
        <color rgb="FFFF0000"/>
        <rFont val="Arial"/>
        <family val="2"/>
      </rPr>
      <t>(before IRB scaling factor)</t>
    </r>
  </si>
  <si>
    <r>
      <t xml:space="preserve">         Retail exposures, qualifying revolving</t>
    </r>
    <r>
      <rPr>
        <strike/>
        <sz val="10"/>
        <color rgb="FFFF0000"/>
        <rFont val="Arial"/>
        <family val="2"/>
      </rPr>
      <t xml:space="preserve"> </t>
    </r>
    <r>
      <rPr>
        <b/>
        <strike/>
        <sz val="10"/>
        <color rgb="FFFF0000"/>
        <rFont val="Arial"/>
        <family val="2"/>
      </rPr>
      <t>(before IRB scaling factor)</t>
    </r>
  </si>
  <si>
    <r>
      <t xml:space="preserve">         Other retail exposures </t>
    </r>
    <r>
      <rPr>
        <b/>
        <strike/>
        <sz val="10"/>
        <color rgb="FFFF0000"/>
        <rFont val="Arial"/>
        <family val="2"/>
      </rPr>
      <t>(before IRB scaling factor)</t>
    </r>
  </si>
  <si>
    <t>2.1.4.3</t>
  </si>
  <si>
    <t>2.1.4.4</t>
  </si>
  <si>
    <r>
      <t>75%</t>
    </r>
    <r>
      <rPr>
        <strike/>
        <sz val="10"/>
        <color rgb="FFFF0000"/>
        <rFont val="Arial"/>
        <family val="2"/>
      </rPr>
      <t>, of which</t>
    </r>
  </si>
  <si>
    <t>20%</t>
  </si>
  <si>
    <t>30%</t>
  </si>
  <si>
    <t>40%</t>
  </si>
  <si>
    <t>50%</t>
  </si>
  <si>
    <t>75%</t>
  </si>
  <si>
    <t>150%</t>
  </si>
  <si>
    <t>of which: RW=60%</t>
  </si>
  <si>
    <r>
      <t xml:space="preserve">Total inflows
</t>
    </r>
    <r>
      <rPr>
        <strike/>
        <sz val="10"/>
        <color rgb="FFFF0000"/>
        <rFont val="Arial"/>
        <family val="2"/>
      </rPr>
      <t>(+)</t>
    </r>
  </si>
  <si>
    <r>
      <t xml:space="preserve">exposure: funded
credit protection.
Net effects of the 
comprehensive
method </t>
    </r>
    <r>
      <rPr>
        <sz val="10"/>
        <color rgb="FFFF0000"/>
        <rFont val="Arial"/>
        <family val="2"/>
      </rPr>
      <t>(-)</t>
    </r>
  </si>
  <si>
    <t>Substitution effect reducing exposure amount (-)</t>
  </si>
  <si>
    <r>
      <rPr>
        <strike/>
        <sz val="10"/>
        <color rgb="FFFF0000"/>
        <rFont val="Arial"/>
        <family val="2"/>
      </rPr>
      <t>affecting</t>
    </r>
    <r>
      <rPr>
        <sz val="10"/>
        <rFont val="Arial"/>
        <family val="2"/>
      </rPr>
      <t xml:space="preserve"> </t>
    </r>
    <r>
      <rPr>
        <sz val="10"/>
        <color rgb="FFFF0000"/>
        <rFont val="Arial"/>
        <family val="2"/>
      </rPr>
      <t>reducing</t>
    </r>
    <r>
      <rPr>
        <sz val="10"/>
        <rFont val="Arial"/>
        <family val="2"/>
      </rPr>
      <t xml:space="preserve"> the </t>
    </r>
  </si>
  <si>
    <t>of which: off balance items</t>
  </si>
  <si>
    <r>
      <t xml:space="preserve">Breakdown </t>
    </r>
    <r>
      <rPr>
        <strike/>
        <sz val="10"/>
        <color rgb="FFFF0000"/>
        <rFont val="Arial"/>
        <family val="2"/>
      </rPr>
      <t xml:space="preserve">of the exposure of contingent liabilities and irrevocable </t>
    </r>
  </si>
  <si>
    <r>
      <rPr>
        <strike/>
        <sz val="10"/>
        <color rgb="FFFF0000"/>
        <rFont val="Arial"/>
        <family val="2"/>
      </rPr>
      <t xml:space="preserve">loan commitments (off-balance sheet items) </t>
    </r>
    <r>
      <rPr>
        <sz val="10"/>
        <rFont val="Arial"/>
        <family val="2"/>
      </rPr>
      <t>by conversion factors</t>
    </r>
  </si>
  <si>
    <t>100% (if LTV&lt;=70% and prudential requirements met)</t>
  </si>
  <si>
    <t>Breakdown of total non-defaulted construction loans and land acquisition loans by risk weight</t>
  </si>
  <si>
    <t xml:space="preserve">Total non-defaulted exposures not meeting the prudential requirements (RW=150%). Exclude construction loans and land acquisition loans. </t>
  </si>
  <si>
    <t>Total non-defaulted construction loans and land acquisition loans by risk weight (RW=150%)</t>
  </si>
  <si>
    <r>
      <t xml:space="preserve">   Pro memoria item: National countercyclical buffer (in percent): ratio of risk-weighted assets on which the national countercyclical buffer 
   (CCB) under art. 44</t>
    </r>
    <r>
      <rPr>
        <sz val="10"/>
        <rFont val="Arial"/>
        <family val="2"/>
      </rPr>
      <t xml:space="preserve"> CAO of x% has been activated to the total of risk-weighted assets, multiplied by the effective national CCB requirement 
   of x%</t>
    </r>
  </si>
  <si>
    <r>
      <t xml:space="preserve">CET1 required for extended countercyclical buffer under art. 44a </t>
    </r>
    <r>
      <rPr>
        <sz val="10"/>
        <rFont val="Arial"/>
        <family val="2"/>
      </rPr>
      <t>CAO (Swiss and foreign exposures)</t>
    </r>
  </si>
  <si>
    <r>
      <t xml:space="preserve">T1 requirement (total CET1, plus total AT1 requirement according to art. 42 par. 1 </t>
    </r>
    <r>
      <rPr>
        <sz val="10"/>
        <color rgb="FFFF0000"/>
        <rFont val="Arial"/>
        <family val="2"/>
      </rPr>
      <t>let. a</t>
    </r>
    <r>
      <rPr>
        <sz val="10"/>
        <rFont val="Arial"/>
        <family val="2"/>
      </rPr>
      <t>, art. 43 and appendix 8 Capital Ordinance 
(incl. potential adjustment according to item 3.2.6.2)</t>
    </r>
  </si>
  <si>
    <r>
      <t xml:space="preserve">   Indication of the total AT1 requirement according to art. 42 par. 1 </t>
    </r>
    <r>
      <rPr>
        <sz val="10"/>
        <color rgb="FFFF0000"/>
        <rFont val="Arial"/>
        <family val="2"/>
      </rPr>
      <t>let. a</t>
    </r>
    <r>
      <rPr>
        <sz val="10"/>
        <rFont val="Arial"/>
        <family val="2"/>
      </rPr>
      <t xml:space="preserve"> and art. 43 and appendix 8 Capital Ordinance</t>
    </r>
  </si>
  <si>
    <r>
      <rPr>
        <b/>
        <strike/>
        <sz val="11"/>
        <color rgb="FFFF0000"/>
        <rFont val="Arial"/>
        <family val="2"/>
      </rPr>
      <t xml:space="preserve">Minimum capital requirements </t>
    </r>
    <r>
      <rPr>
        <b/>
        <sz val="11"/>
        <color rgb="FFFF0000"/>
        <rFont val="Arial"/>
        <family val="2"/>
      </rPr>
      <t>RWA</t>
    </r>
    <r>
      <rPr>
        <b/>
        <sz val="11"/>
        <rFont val="Arial"/>
        <family val="2"/>
      </rPr>
      <t xml:space="preserve"> for market risk
(arts. 80-88 Capital Ordinance)</t>
    </r>
  </si>
  <si>
    <r>
      <t xml:space="preserve">   Subtotal of the </t>
    </r>
    <r>
      <rPr>
        <sz val="10"/>
        <color rgb="FFFF0000"/>
        <rFont val="Arial"/>
        <family val="2"/>
      </rPr>
      <t xml:space="preserve">RWA </t>
    </r>
    <r>
      <rPr>
        <strike/>
        <sz val="10"/>
        <color rgb="FFFF0000"/>
        <rFont val="Arial"/>
        <family val="2"/>
      </rPr>
      <t xml:space="preserve">minimum capital requirements </t>
    </r>
    <r>
      <rPr>
        <sz val="10"/>
        <rFont val="Arial"/>
        <family val="2"/>
      </rPr>
      <t xml:space="preserve">for exposure classes under the F-IRB (Foundation IRB) </t>
    </r>
    <r>
      <rPr>
        <strike/>
        <sz val="10"/>
        <color rgb="FFFF0000"/>
        <rFont val="Arial"/>
        <family val="2"/>
      </rPr>
      <t xml:space="preserve">(without securitisation exposures) </t>
    </r>
  </si>
  <si>
    <r>
      <rPr>
        <strike/>
        <sz val="10"/>
        <color rgb="FFFF0000"/>
        <rFont val="Arial"/>
        <family val="2"/>
      </rPr>
      <t>Minimum capital requirements</t>
    </r>
    <r>
      <rPr>
        <sz val="10"/>
        <color rgb="FFFF0000"/>
        <rFont val="Arial"/>
        <family val="2"/>
      </rPr>
      <t xml:space="preserve"> RWA </t>
    </r>
    <r>
      <rPr>
        <sz val="10"/>
        <rFont val="Arial"/>
        <family val="2"/>
      </rPr>
      <t>for market risk under the simple standardised approach (SSA)</t>
    </r>
  </si>
  <si>
    <r>
      <rPr>
        <strike/>
        <sz val="10"/>
        <color rgb="FFFF0000"/>
        <rFont val="Arial"/>
        <family val="2"/>
      </rPr>
      <t>Minimum capital requirements</t>
    </r>
    <r>
      <rPr>
        <sz val="10"/>
        <color rgb="FFFF0000"/>
        <rFont val="Arial"/>
        <family val="2"/>
      </rPr>
      <t xml:space="preserve"> RWA </t>
    </r>
    <r>
      <rPr>
        <sz val="10"/>
        <rFont val="Arial"/>
        <family val="2"/>
      </rPr>
      <t>for market risk under the standardised approach (SA)</t>
    </r>
  </si>
  <si>
    <r>
      <rPr>
        <strike/>
        <sz val="10"/>
        <color rgb="FFFF0000"/>
        <rFont val="Arial"/>
        <family val="2"/>
      </rPr>
      <t>Minimum capital requirements</t>
    </r>
    <r>
      <rPr>
        <sz val="10"/>
        <color rgb="FFFF0000"/>
        <rFont val="Arial"/>
        <family val="2"/>
      </rPr>
      <t xml:space="preserve"> RWA</t>
    </r>
    <r>
      <rPr>
        <sz val="10"/>
        <rFont val="Arial"/>
        <family val="2"/>
      </rPr>
      <t xml:space="preserve"> for market risk under the internal models approach (IMA)</t>
    </r>
  </si>
  <si>
    <t>col. 19</t>
  </si>
  <si>
    <t>col. 20</t>
  </si>
  <si>
    <t>col. 21</t>
  </si>
  <si>
    <t>col. 22</t>
  </si>
  <si>
    <t>col. 23</t>
  </si>
  <si>
    <t>col. 24</t>
  </si>
  <si>
    <t xml:space="preserve">Breakdown of total non-defaulted
exposures by LTV bands, provided that prudential requirements are met. Exclude construction loans and land acquisition loans. </t>
  </si>
  <si>
    <t>LTV ≤ 40% (Base RW=30%)</t>
  </si>
  <si>
    <t>40% &lt; LTV ≤ 50% (Base RW=30%)</t>
  </si>
  <si>
    <t>50% &lt; LTV ≤ 60% (Base RW=35%)</t>
  </si>
  <si>
    <t>60% &lt; LTV ≤ 67% (Base RW=60%)</t>
  </si>
  <si>
    <t>67% &lt; LTV ≤ 70% (Base RW=60%)</t>
  </si>
  <si>
    <t>75% &lt; LTV ≤ 80% (Base RW=60%)</t>
  </si>
  <si>
    <t>80% &lt; LTV ≤ 90% (Base RW=75%)</t>
  </si>
  <si>
    <t>90% &lt; LTV ≤ 100% (Base RW=85%)</t>
  </si>
  <si>
    <t>LTV &gt;100% (Base RW=110%)</t>
  </si>
  <si>
    <t>Breakdown of defaulted exposures by risk weights</t>
  </si>
  <si>
    <t>Breakdown</t>
  </si>
  <si>
    <t>by conversion factors</t>
  </si>
  <si>
    <t>Total inflows</t>
  </si>
  <si>
    <t xml:space="preserve">Breakdown of total non-defaulted
exposures by LTV band provided that applicable prudential requirements are met. Include construction loans and land acquisition loans. </t>
  </si>
  <si>
    <t>LTV ≤ 40% (Base RW=20%)</t>
  </si>
  <si>
    <t>40% &lt; LTV ≤ 50% (Base RW=20%)</t>
  </si>
  <si>
    <t>50% &lt; LTV ≤ 60% (Base RW=25%)</t>
  </si>
  <si>
    <t>60% &lt; LTV ≤ 67% (Base RW=35%)</t>
  </si>
  <si>
    <t>67% &lt; LTV ≤ 70% (Base RW=35%)</t>
  </si>
  <si>
    <t>70% &lt; LTV ≤ 80% (Base RW=35%)</t>
  </si>
  <si>
    <t>80% &lt; LTV ≤ 90% (Base RW=45%)</t>
  </si>
  <si>
    <t>90% &lt; LTV ≤ 100% (Base RW=55%)</t>
  </si>
  <si>
    <t>LTV &gt;100% (Base RW=75%)</t>
  </si>
  <si>
    <t>Self-used commercial real estate exposures (incl. Construction loans and land acquisition loans)</t>
  </si>
  <si>
    <t>LTV ≤ 40% (Base RW=Min(60%; RW_Counterparty))</t>
  </si>
  <si>
    <t>40% &lt; LTV ≤ 50% (Base RW=Min(60%; RW_Counterparty))</t>
  </si>
  <si>
    <t>50% &lt; LTV ≤ 60% (Base RW=Min(60%; RW_Counterparty))</t>
  </si>
  <si>
    <t>67% &lt; LTV ≤ 70% (Base RW=RW_Counterparty)</t>
  </si>
  <si>
    <t>70% &lt; LTV ≤ 80% (Base RW=RW_Counterparty)</t>
  </si>
  <si>
    <t>80% &lt; LTV ≤ 90% (Base_RW=RW_Counterparty)</t>
  </si>
  <si>
    <t>90% &lt; LTV ≤ 100% (Base RW=RW_Counterparty)</t>
  </si>
  <si>
    <t xml:space="preserve">reducing the </t>
  </si>
  <si>
    <t>exposure: funded
credit protection.
Net effects of the 
comprehensive
method (-)</t>
  </si>
  <si>
    <t>40% &lt; LTV ≤ 50% (Base RW=70%)</t>
  </si>
  <si>
    <t>50% &lt; LTV ≤ 60% (Base RW=70%)</t>
  </si>
  <si>
    <t>75% &lt; LTV ≤ 80% (Base RW=100%)</t>
  </si>
  <si>
    <t>Other commercial real estate exposures (incl. Construction loans and land acquisition loans)</t>
  </si>
  <si>
    <t>(col. 18+19)</t>
  </si>
  <si>
    <t>Total outflows
(col. 13+14+15)</t>
  </si>
  <si>
    <t>(col. 12+16+17)</t>
  </si>
  <si>
    <t>Self-used residential real estate exposures (incl. Construction loans and land acquisition loans, and incl. up to 1 buy-to-let unit)</t>
  </si>
  <si>
    <t>Other residential real estate exposures (incl. Construction loans and land acquisition loans)</t>
  </si>
  <si>
    <r>
      <t xml:space="preserve">Total outflows
</t>
    </r>
    <r>
      <rPr>
        <strike/>
        <sz val="10"/>
        <color rgb="FFFF0000"/>
        <rFont val="Arial"/>
        <family val="2"/>
      </rPr>
      <t>(–)</t>
    </r>
    <r>
      <rPr>
        <sz val="10"/>
        <color rgb="FFFF0000"/>
        <rFont val="Arial"/>
        <family val="2"/>
      </rPr>
      <t xml:space="preserve">
(col. 13+14+15)</t>
    </r>
  </si>
  <si>
    <r>
      <t xml:space="preserve">(col. </t>
    </r>
    <r>
      <rPr>
        <sz val="10"/>
        <color rgb="FFFF0000"/>
        <rFont val="Arial"/>
        <family val="2"/>
      </rPr>
      <t>12+16+17</t>
    </r>
    <r>
      <rPr>
        <sz val="10"/>
        <rFont val="Arial"/>
        <family val="2"/>
      </rPr>
      <t xml:space="preserve"> </t>
    </r>
    <r>
      <rPr>
        <strike/>
        <sz val="10"/>
        <color rgb="FFFF0000"/>
        <rFont val="Arial"/>
        <family val="2"/>
      </rPr>
      <t>08+12+13</t>
    </r>
    <r>
      <rPr>
        <sz val="10"/>
        <rFont val="Arial"/>
        <family val="2"/>
      </rPr>
      <t>)</t>
    </r>
  </si>
  <si>
    <r>
      <t xml:space="preserve">(col. </t>
    </r>
    <r>
      <rPr>
        <sz val="10"/>
        <color rgb="FFFF0000"/>
        <rFont val="Arial"/>
        <family val="2"/>
      </rPr>
      <t xml:space="preserve">18+19 </t>
    </r>
    <r>
      <rPr>
        <strike/>
        <sz val="10"/>
        <color rgb="FFFF0000"/>
        <rFont val="Arial"/>
        <family val="2"/>
      </rPr>
      <t>14+15</t>
    </r>
    <r>
      <rPr>
        <sz val="10"/>
        <rFont val="Arial"/>
        <family val="2"/>
      </rPr>
      <t>)</t>
    </r>
  </si>
  <si>
    <r>
      <rPr>
        <b/>
        <strike/>
        <sz val="11"/>
        <color rgb="FFFF0000"/>
        <rFont val="Arial"/>
        <family val="2"/>
      </rPr>
      <t xml:space="preserve">Minimum capital requirements </t>
    </r>
    <r>
      <rPr>
        <b/>
        <sz val="11"/>
        <color rgb="FFFF0000"/>
        <rFont val="Arial"/>
        <family val="2"/>
      </rPr>
      <t xml:space="preserve">RWA </t>
    </r>
    <r>
      <rPr>
        <b/>
        <sz val="11"/>
        <rFont val="Arial"/>
        <family val="2"/>
      </rPr>
      <t>for operational risk (OpR)
(arts. 89-94 Capital Ordinance)</t>
    </r>
  </si>
  <si>
    <t>Look-Through Approach</t>
  </si>
  <si>
    <t>Mandate-Based Approach</t>
  </si>
  <si>
    <t>Fallback Approach</t>
  </si>
  <si>
    <r>
      <t xml:space="preserve">   Subtotal of the </t>
    </r>
    <r>
      <rPr>
        <sz val="10"/>
        <color rgb="FFFF0000"/>
        <rFont val="Arial"/>
        <family val="2"/>
      </rPr>
      <t xml:space="preserve">RWA </t>
    </r>
    <r>
      <rPr>
        <strike/>
        <sz val="10"/>
        <color rgb="FFFF0000"/>
        <rFont val="Arial"/>
        <family val="2"/>
      </rPr>
      <t xml:space="preserve">minimum capital requirements </t>
    </r>
    <r>
      <rPr>
        <sz val="10"/>
        <rFont val="Arial"/>
        <family val="2"/>
      </rPr>
      <t xml:space="preserve">for asset classes under the A-IRB (Advanced IRB) 
</t>
    </r>
    <r>
      <rPr>
        <strike/>
        <sz val="10"/>
        <color rgb="FFFF0000"/>
        <rFont val="Arial"/>
        <family val="2"/>
      </rPr>
      <t xml:space="preserve">   (without securitisation exposures)</t>
    </r>
  </si>
  <si>
    <t>Yes / No</t>
  </si>
  <si>
    <t>P_CRSABIS_OPT</t>
  </si>
  <si>
    <t>Approach used to determine EAD for derivatives</t>
  </si>
  <si>
    <t>Approach used to determine EAD for secured credits and SFTs</t>
  </si>
  <si>
    <t>SA-BIS</t>
  </si>
  <si>
    <t>1</t>
  </si>
  <si>
    <t>2</t>
  </si>
  <si>
    <t>Market risks</t>
  </si>
  <si>
    <t>Breakdown of total non-defaulted
exposures not meeting the applicable prudential requirements by risk weights (Base RW=RW_counterparty)</t>
  </si>
  <si>
    <t xml:space="preserve">Breakdown of total non-defaulted
exposures that receive as base RW the RW_counterparty 
(incl. construction loans and land acquisition loans and other loans not meeting prudential requirements, as well as exposures reported in the breakdown above that meet the prudential requirements but are risk weighted with RW_counterparty). </t>
  </si>
  <si>
    <r>
      <t>LTV &gt;100% (Base RW=RW_Counterparty</t>
    </r>
    <r>
      <rPr>
        <sz val="10"/>
        <rFont val="Arial"/>
        <family val="2"/>
      </rPr>
      <t>)</t>
    </r>
  </si>
  <si>
    <r>
      <t xml:space="preserve">      Other</t>
    </r>
    <r>
      <rPr>
        <sz val="10"/>
        <color rgb="FFFF0000"/>
        <rFont val="Arial"/>
        <family val="2"/>
      </rPr>
      <t xml:space="preserve"> assets </t>
    </r>
    <r>
      <rPr>
        <strike/>
        <sz val="10"/>
        <color rgb="FFFF0000"/>
        <rFont val="Arial"/>
        <family val="2"/>
      </rPr>
      <t>exposures</t>
    </r>
    <r>
      <rPr>
        <sz val="10"/>
        <rFont val="Arial"/>
        <family val="2"/>
      </rPr>
      <t xml:space="preserve">
      (art. 63 par. 3 let. g Capital Ordinance)</t>
    </r>
  </si>
  <si>
    <t xml:space="preserve">       Defaulted exposures
      (art. 63 par. 4 Capital Ordinance)</t>
  </si>
  <si>
    <t xml:space="preserve">    Real Estate
    (art. 63 par. 3 let. c Capital Ordinance)</t>
  </si>
  <si>
    <r>
      <rPr>
        <strike/>
        <sz val="10"/>
        <color rgb="FFFF0000"/>
        <rFont val="Arial"/>
        <family val="2"/>
      </rPr>
      <t xml:space="preserve">Minimum capital requirements </t>
    </r>
    <r>
      <rPr>
        <sz val="10"/>
        <color rgb="FFFF0000"/>
        <rFont val="Arial"/>
        <family val="2"/>
      </rPr>
      <t>RWA</t>
    </r>
    <r>
      <rPr>
        <sz val="10"/>
        <rFont val="Arial"/>
        <family val="2"/>
      </rPr>
      <t xml:space="preserve"> for settlement risk 
(art. 7</t>
    </r>
    <r>
      <rPr>
        <sz val="10"/>
        <color rgb="FFFF0000"/>
        <rFont val="Arial"/>
        <family val="2"/>
      </rPr>
      <t xml:space="preserve">7h </t>
    </r>
    <r>
      <rPr>
        <strike/>
        <sz val="10"/>
        <color rgb="FFFF0000"/>
        <rFont val="Arial"/>
        <family val="2"/>
      </rPr>
      <t>6</t>
    </r>
    <r>
      <rPr>
        <sz val="10"/>
        <rFont val="Arial"/>
        <family val="2"/>
      </rPr>
      <t xml:space="preserve"> Capital Ordinance)</t>
    </r>
  </si>
  <si>
    <t>of which: Items not deducted in application of threshold 3, but risk-weighted with 250%
(art. 40 Capital Ordinance)</t>
  </si>
  <si>
    <t>Business Indicator Component (BIC)</t>
  </si>
  <si>
    <t>Internal Loss Multiplier (ILM)</t>
  </si>
  <si>
    <r>
      <rPr>
        <b/>
        <strike/>
        <sz val="11"/>
        <color rgb="FFFF0000"/>
        <rFont val="Arial"/>
        <family val="2"/>
      </rPr>
      <t>Minimum capital requirements</t>
    </r>
    <r>
      <rPr>
        <b/>
        <sz val="11"/>
        <rFont val="Arial"/>
        <family val="2"/>
      </rPr>
      <t xml:space="preserve"> </t>
    </r>
    <r>
      <rPr>
        <b/>
        <sz val="11"/>
        <color rgb="FFFF0000"/>
        <rFont val="Arial"/>
        <family val="2"/>
      </rPr>
      <t xml:space="preserve">RWA </t>
    </r>
    <r>
      <rPr>
        <b/>
        <sz val="11"/>
        <rFont val="Arial"/>
        <family val="2"/>
      </rPr>
      <t xml:space="preserve">for credit </t>
    </r>
    <r>
      <rPr>
        <b/>
        <sz val="11"/>
        <color rgb="FFFF0000"/>
        <rFont val="Arial"/>
        <family val="2"/>
      </rPr>
      <t>and counterparty credit</t>
    </r>
    <r>
      <rPr>
        <b/>
        <sz val="11"/>
        <rFont val="Arial"/>
        <family val="2"/>
      </rPr>
      <t xml:space="preserve"> risk</t>
    </r>
    <r>
      <rPr>
        <b/>
        <sz val="11"/>
        <color rgb="FFFF0000"/>
        <rFont val="Arial"/>
        <family val="2"/>
      </rPr>
      <t>s</t>
    </r>
    <r>
      <rPr>
        <b/>
        <sz val="11"/>
        <rFont val="Arial"/>
        <family val="2"/>
      </rPr>
      <t xml:space="preserve"> under the SA-BIS and the IRB and for other credit risk items
(arts. 48-77 Capital Ordinance)</t>
    </r>
  </si>
  <si>
    <t>of which: domestic exposures</t>
  </si>
  <si>
    <t>Securitisations</t>
  </si>
  <si>
    <t>SEC-SA</t>
  </si>
  <si>
    <t>4</t>
  </si>
  <si>
    <t>Credit Valuation Adjustments (CVA)</t>
  </si>
  <si>
    <t>Capital requirements for securitisation exposures in the banking book</t>
  </si>
  <si>
    <t>P_CRSEC</t>
  </si>
  <si>
    <t>Exposure values (by RW bands)</t>
  </si>
  <si>
    <t>Exposure values (by regulatory approach)</t>
  </si>
  <si>
    <t>RWA (by regulatory approach)</t>
  </si>
  <si>
    <t>Minimum capital requirements after cap</t>
  </si>
  <si>
    <t>≤20% RW</t>
  </si>
  <si>
    <t>&gt;20% to 
50% RW</t>
  </si>
  <si>
    <t>&gt;50% to 
100% RW</t>
  </si>
  <si>
    <t>&gt;100% to &lt;1250% RW</t>
  </si>
  <si>
    <t>1250% RW</t>
  </si>
  <si>
    <t>SEC-IRBA</t>
  </si>
  <si>
    <t>SEC-ERBA (including IAA)</t>
  </si>
  <si>
    <t xml:space="preserve">
1</t>
  </si>
  <si>
    <t>Total exposures - bank acting as originator or as sponsor</t>
  </si>
  <si>
    <t>Traditional securitisation</t>
  </si>
  <si>
    <t>1.1.1</t>
  </si>
  <si>
    <t>Securitisation</t>
  </si>
  <si>
    <t>With retail underlying</t>
  </si>
  <si>
    <t>1.1.1.1.1</t>
  </si>
  <si>
    <t>Of which STC</t>
  </si>
  <si>
    <t>1.1.1.2</t>
  </si>
  <si>
    <t>With wholesale underlying</t>
  </si>
  <si>
    <t>1.1.1.2.1</t>
  </si>
  <si>
    <t>1.1.2</t>
  </si>
  <si>
    <t>Re-securitisation</t>
  </si>
  <si>
    <t>Senior</t>
  </si>
  <si>
    <t>Non-senior</t>
  </si>
  <si>
    <t>Synthetic securitisation</t>
  </si>
  <si>
    <t>1.2.1.2</t>
  </si>
  <si>
    <t>1.2.2.1</t>
  </si>
  <si>
    <t>1.2.2.2</t>
  </si>
  <si>
    <t xml:space="preserve">
2</t>
  </si>
  <si>
    <t>Total exposures - bank acting as investor</t>
  </si>
  <si>
    <t>2.1.1.1.1</t>
  </si>
  <si>
    <t>2.1.1.2</t>
  </si>
  <si>
    <t>2.1.1.2.1</t>
  </si>
  <si>
    <t>2.1.2.1</t>
  </si>
  <si>
    <t>2.1.2.2</t>
  </si>
  <si>
    <t>2.2.1.1</t>
  </si>
  <si>
    <t>2.2.1.2</t>
  </si>
  <si>
    <t>2.2.2.1</t>
  </si>
  <si>
    <t>2.2.2.2</t>
  </si>
  <si>
    <t>Consistency checks</t>
  </si>
  <si>
    <t>Row 005 &lt;= row 004</t>
  </si>
  <si>
    <t>Row 007 &lt;= row 006</t>
  </si>
  <si>
    <t>Row 022 &lt;= row 021</t>
  </si>
  <si>
    <t>Row 024 &lt;= row 023</t>
  </si>
  <si>
    <t>1.00.E0</t>
  </si>
  <si>
    <t>Operational risks</t>
  </si>
  <si>
    <t>P_OPR</t>
  </si>
  <si>
    <t>Gross income</t>
  </si>
  <si>
    <t xml:space="preserve">Capital </t>
  </si>
  <si>
    <t>AMA memorandum items to be reported if applicable</t>
  </si>
  <si>
    <t>requirements</t>
  </si>
  <si>
    <t>Year 3</t>
  </si>
  <si>
    <t>Year 2</t>
  </si>
  <si>
    <t>Last Year</t>
  </si>
  <si>
    <t>Capital</t>
  </si>
  <si>
    <t xml:space="preserve">Alleviation capital </t>
  </si>
  <si>
    <t>Alleviation</t>
  </si>
  <si>
    <t xml:space="preserve">requirements </t>
  </si>
  <si>
    <t>requirements due</t>
  </si>
  <si>
    <t xml:space="preserve">of capital </t>
  </si>
  <si>
    <t>before alleviation
due to expected
loss and
insurance
(col. 04+06+07)</t>
  </si>
  <si>
    <t>to the expected
loss</t>
  </si>
  <si>
    <t>requirements
due to insurance</t>
  </si>
  <si>
    <t>col.04 &gt;= 0</t>
  </si>
  <si>
    <t>col.05 to col.07 &gt;=0</t>
  </si>
  <si>
    <t>Total banking activities subject to basic
indicator approach (BIA)</t>
  </si>
  <si>
    <t>Total banking activities subject to
standardised (SA) approach</t>
  </si>
  <si>
    <t>Subject to SA</t>
  </si>
  <si>
    <t>Corporate finance (CF)</t>
  </si>
  <si>
    <t>Trading and sales (TS)</t>
  </si>
  <si>
    <t>Retail banking (RB)</t>
  </si>
  <si>
    <t>Commercial banking (CB)</t>
  </si>
  <si>
    <t>Payment and settlement (PS)</t>
  </si>
  <si>
    <t>Agency services (AS)</t>
  </si>
  <si>
    <t>Asset management (AM)</t>
  </si>
  <si>
    <t>Retail brokerage (RBr)</t>
  </si>
  <si>
    <t>Business Indicator and subcomponents</t>
  </si>
  <si>
    <t>Interest, leases and dividend component (ILDC)</t>
  </si>
  <si>
    <t>Interest income</t>
  </si>
  <si>
    <t>Interest expenses</t>
  </si>
  <si>
    <t>Interest-earning assets</t>
  </si>
  <si>
    <t>Dividend income</t>
  </si>
  <si>
    <t>Services component (SC)</t>
  </si>
  <si>
    <t>Other operating income</t>
  </si>
  <si>
    <t xml:space="preserve">Other operating expenses </t>
  </si>
  <si>
    <t>Fee and commission income</t>
  </si>
  <si>
    <t>Fee and commission expenses</t>
  </si>
  <si>
    <t>Financial component (FC)</t>
  </si>
  <si>
    <t>Net profit (loss) on the trading book</t>
  </si>
  <si>
    <t>Net profit (loss) on the banking book (only where relevant to the calculation of operational risk capital requirements)</t>
  </si>
  <si>
    <t>Business Indicator (BI)</t>
  </si>
  <si>
    <t>BI gross of excluded discontinued activities</t>
  </si>
  <si>
    <t>Reduction in BI due to excluded discontinued activities</t>
  </si>
  <si>
    <t>Minimum required operational risk capital</t>
  </si>
  <si>
    <t>Business indicator component (BIC)</t>
  </si>
  <si>
    <t>Internal Loss Multiplier (ILM) if not equal to 1</t>
  </si>
  <si>
    <t>Minimum required operational risk capital (ORC)</t>
  </si>
  <si>
    <t>Operational risk RWA</t>
  </si>
  <si>
    <t>Total banking activities subject
to advanced measurement
approaches (AMA) (1)</t>
  </si>
  <si>
    <t>Information on the gross income for activities subject to AMA calculations will be provided in the case of combined use of different methodologies as indicated</t>
  </si>
  <si>
    <t>in Operational Risk Circular margin no. 108–114.</t>
  </si>
  <si>
    <t>2.00.E0</t>
  </si>
  <si>
    <t>Year T</t>
  </si>
  <si>
    <t>Year T-1</t>
  </si>
  <si>
    <t>Year T-2</t>
  </si>
  <si>
    <t>P_SETT</t>
  </si>
  <si>
    <t>Settlement risk</t>
  </si>
  <si>
    <t>col.01 &gt;= 0</t>
  </si>
  <si>
    <t>col.02 &gt;= 0</t>
  </si>
  <si>
    <r>
      <rPr>
        <strike/>
        <sz val="10"/>
        <color rgb="FFFF0000"/>
        <rFont val="Arial"/>
        <family val="2"/>
      </rPr>
      <t xml:space="preserve">Price difference </t>
    </r>
    <r>
      <rPr>
        <sz val="10"/>
        <color rgb="FFFF0000"/>
        <rFont val="Arial"/>
        <family val="2"/>
      </rPr>
      <t>E</t>
    </r>
    <r>
      <rPr>
        <sz val="10"/>
        <rFont val="Arial"/>
        <family val="2"/>
      </rPr>
      <t>xposure
due to unsettled
transactions</t>
    </r>
  </si>
  <si>
    <r>
      <rPr>
        <strike/>
        <sz val="10"/>
        <color rgb="FFFF0000"/>
        <rFont val="Arial"/>
        <family val="2"/>
      </rPr>
      <t>Capital requirements</t>
    </r>
    <r>
      <rPr>
        <sz val="10"/>
        <color rgb="FFFF0000"/>
        <rFont val="Arial"/>
        <family val="2"/>
      </rPr>
      <t>Risk Weighted Assets</t>
    </r>
  </si>
  <si>
    <r>
      <t xml:space="preserve">Transactions unsettled between 5 and 15 </t>
    </r>
    <r>
      <rPr>
        <sz val="10"/>
        <color rgb="FFFF0000"/>
        <rFont val="Arial"/>
        <family val="2"/>
      </rPr>
      <t>banking</t>
    </r>
    <r>
      <rPr>
        <sz val="10"/>
        <rFont val="Arial"/>
        <family val="2"/>
      </rPr>
      <t xml:space="preserve"> days</t>
    </r>
  </si>
  <si>
    <r>
      <t xml:space="preserve">Transactions unsettled between 16 and 30 </t>
    </r>
    <r>
      <rPr>
        <sz val="10"/>
        <color rgb="FFFF0000"/>
        <rFont val="Arial"/>
        <family val="2"/>
      </rPr>
      <t>banking</t>
    </r>
    <r>
      <rPr>
        <sz val="10"/>
        <rFont val="Arial"/>
        <family val="2"/>
      </rPr>
      <t xml:space="preserve"> days</t>
    </r>
  </si>
  <si>
    <t>1.1.3</t>
  </si>
  <si>
    <r>
      <t xml:space="preserve">Transactions unsettled between 31 and 45 </t>
    </r>
    <r>
      <rPr>
        <sz val="10"/>
        <color rgb="FFFF0000"/>
        <rFont val="Arial"/>
        <family val="2"/>
      </rPr>
      <t>banking</t>
    </r>
    <r>
      <rPr>
        <sz val="10"/>
        <rFont val="Arial"/>
        <family val="2"/>
      </rPr>
      <t xml:space="preserve"> days</t>
    </r>
  </si>
  <si>
    <r>
      <t xml:space="preserve">Transactions unsettled for 46 </t>
    </r>
    <r>
      <rPr>
        <sz val="10"/>
        <color rgb="FFFF0000"/>
        <rFont val="Arial"/>
        <family val="2"/>
      </rPr>
      <t>banking</t>
    </r>
    <r>
      <rPr>
        <sz val="10"/>
        <rFont val="Arial"/>
        <family val="2"/>
      </rPr>
      <t xml:space="preserve"> days and more</t>
    </r>
  </si>
  <si>
    <t>Bank delivered, waiting for counterparty to deliver (up to four banking days after agreed settlement date)</t>
  </si>
  <si>
    <t>Bank delivered, waiting for counterparty to deliver: five or more banking days after agreed settlement date</t>
  </si>
  <si>
    <t>P_CVA</t>
  </si>
  <si>
    <t>Credit Valuation Adjustments (CVA) and counterparty credit risk memorandum items</t>
  </si>
  <si>
    <t>Securities Financing Transactions (SFTs)</t>
  </si>
  <si>
    <t>Exposure at Default (EAD) (gross of CVA)</t>
  </si>
  <si>
    <t>of which: bilateral SFT exposures not subject to CVA charge</t>
  </si>
  <si>
    <t>of which: exposures subject to simplified CVA charge</t>
  </si>
  <si>
    <t>of which: exposures subject to standardised CVA charge</t>
  </si>
  <si>
    <t>of which: exposures subject to advanced CVA charge</t>
  </si>
  <si>
    <t xml:space="preserve">Incurred CVA </t>
  </si>
  <si>
    <t>Outstanding EAD (net of CVA)</t>
  </si>
  <si>
    <t>Risk-weighted sum of EADs</t>
  </si>
  <si>
    <t>Row 7 and 8 not empty</t>
  </si>
  <si>
    <t>1. Simplified approach for CVA</t>
  </si>
  <si>
    <t>Simplified-CVA RWA</t>
  </si>
  <si>
    <t xml:space="preserve">Total </t>
  </si>
  <si>
    <t>2. Reduced basic approach for CVA (BA-CVA)</t>
  </si>
  <si>
    <t>Components</t>
  </si>
  <si>
    <t>Aggregation of systematic components of CVA risk</t>
  </si>
  <si>
    <t>Aggregation of idiosyncratic components of CVA risk</t>
  </si>
  <si>
    <t>3. Full basic approach for CVA (BA-CVA)</t>
  </si>
  <si>
    <t>Number of counterparties</t>
  </si>
  <si>
    <t xml:space="preserve">Interest rate risk </t>
  </si>
  <si>
    <t xml:space="preserve">Foreign exchange risk </t>
  </si>
  <si>
    <t>Reference credit spread risk</t>
  </si>
  <si>
    <t xml:space="preserve">Equity risk </t>
  </si>
  <si>
    <t>Counterparty credit spread risk</t>
  </si>
  <si>
    <t>Total (sum of rows 4.1 to 4.6)</t>
  </si>
  <si>
    <r>
      <t xml:space="preserve">   Simplified approach </t>
    </r>
    <r>
      <rPr>
        <sz val="10"/>
        <color rgb="FFFF0000"/>
        <rFont val="Arial"/>
        <family val="2"/>
      </rPr>
      <t>for CVA risks</t>
    </r>
  </si>
  <si>
    <t xml:space="preserve">   No case-specific risk-weights by type of specialised lending</t>
  </si>
  <si>
    <t xml:space="preserve">2.1.1.1.2
 </t>
  </si>
  <si>
    <t>4a     Minimum capital requirements (CHF) 
         [Caveat: this figure might need to be adjusted in cases where the minimum capital requirement of 10 Mio CHF (Art. 15 Banking Ordinance) 
         for banks or 1.2 Mio CHF (Art. 22 Stock Exchange Ordinance) for securities dealers applies.]</t>
  </si>
  <si>
    <t xml:space="preserve">2.1.3
</t>
  </si>
  <si>
    <t>2.1.3.1</t>
  </si>
  <si>
    <t>2.1.3.2</t>
  </si>
  <si>
    <t>2.1.3.3</t>
  </si>
  <si>
    <t>2.3.1.3.1</t>
  </si>
  <si>
    <t>2.3.1.3.2</t>
  </si>
  <si>
    <t>2.3.1.3.3</t>
  </si>
  <si>
    <t xml:space="preserve">1.1.1.11.4
  </t>
  </si>
  <si>
    <t>2.1.1.1.4.1</t>
  </si>
  <si>
    <t xml:space="preserve">2.1.1.1.4.2 </t>
  </si>
  <si>
    <t xml:space="preserve">2.1.1.1.4.3 </t>
  </si>
  <si>
    <t xml:space="preserve">2.1.1.1.4.4 </t>
  </si>
  <si>
    <t>Overview of Approaches and Optionalities used</t>
  </si>
  <si>
    <t xml:space="preserve">   Gross notional amount of non-CCP cleared derivatives</t>
  </si>
  <si>
    <t>Standardised approach</t>
  </si>
  <si>
    <t>Model-approach</t>
  </si>
  <si>
    <t>Simplified approach in the banking book</t>
  </si>
  <si>
    <t>Comprehensive approach in the banking book</t>
  </si>
  <si>
    <t>Comprehensive approach in the trading book</t>
  </si>
  <si>
    <t>Simple approach (S-CVA)</t>
  </si>
  <si>
    <t>Basic approach (BA-CVA)</t>
  </si>
  <si>
    <t>Advanced approach (F-CVA)</t>
  </si>
  <si>
    <t>2.6.1</t>
  </si>
  <si>
    <t>1.5</t>
  </si>
  <si>
    <t xml:space="preserve">Additional RWA as specified by FINMA </t>
  </si>
  <si>
    <r>
      <t xml:space="preserve">Adjustments in RWA </t>
    </r>
    <r>
      <rPr>
        <b/>
        <strike/>
        <sz val="11"/>
        <color rgb="FFFF0000"/>
        <rFont val="Arial"/>
        <family val="2"/>
      </rPr>
      <t>Other minimum capital requirements</t>
    </r>
  </si>
  <si>
    <t>Please specify the nature of the additional RWA and/or reductions in RWA as specified by FINMA</t>
  </si>
  <si>
    <t>TEXT FIELD FOR COMMENT</t>
  </si>
  <si>
    <t xml:space="preserve">   Residual term to final maturity ≤ 6 months</t>
  </si>
  <si>
    <t xml:space="preserve">   Residual term to final maturity &gt; 6 months and ≤ 24 months</t>
  </si>
  <si>
    <t xml:space="preserve">   Residual term to final maturity &gt; 24 months</t>
  </si>
  <si>
    <t>Regulatory simplifications used</t>
  </si>
  <si>
    <t>P_CRCCP</t>
  </si>
  <si>
    <r>
      <t>2.1.2.1.2.</t>
    </r>
    <r>
      <rPr>
        <strike/>
        <sz val="10"/>
        <color rgb="FFFF0000"/>
        <rFont val="Arial"/>
        <family val="2"/>
      </rPr>
      <t>1</t>
    </r>
  </si>
  <si>
    <r>
      <t>2.1.2.1.</t>
    </r>
    <r>
      <rPr>
        <sz val="10"/>
        <color rgb="FFFF0000"/>
        <rFont val="Arial"/>
        <family val="2"/>
      </rPr>
      <t>3</t>
    </r>
    <r>
      <rPr>
        <strike/>
        <sz val="10"/>
        <color rgb="FFFF0000"/>
        <rFont val="Arial"/>
        <family val="2"/>
      </rPr>
      <t>2.2</t>
    </r>
  </si>
  <si>
    <r>
      <t>2.1.2.1</t>
    </r>
    <r>
      <rPr>
        <sz val="10"/>
        <color rgb="FFFF0000"/>
        <rFont val="Arial"/>
        <family val="2"/>
      </rPr>
      <t>.4</t>
    </r>
    <r>
      <rPr>
        <strike/>
        <sz val="10"/>
        <color rgb="FFFF0000"/>
        <rFont val="Arial"/>
        <family val="2"/>
      </rPr>
      <t>3</t>
    </r>
  </si>
  <si>
    <r>
      <t>2.1.2.1.</t>
    </r>
    <r>
      <rPr>
        <sz val="10"/>
        <color rgb="FFFF0000"/>
        <rFont val="Arial"/>
        <family val="2"/>
      </rPr>
      <t>4</t>
    </r>
    <r>
      <rPr>
        <sz val="10"/>
        <rFont val="Arial"/>
        <family val="2"/>
      </rPr>
      <t>.1</t>
    </r>
  </si>
  <si>
    <r>
      <t>2.1.2.1.</t>
    </r>
    <r>
      <rPr>
        <sz val="10"/>
        <color rgb="FFFF0000"/>
        <rFont val="Arial"/>
        <family val="2"/>
      </rPr>
      <t>4</t>
    </r>
    <r>
      <rPr>
        <sz val="10"/>
        <rFont val="Arial"/>
        <family val="2"/>
      </rPr>
      <t>.2</t>
    </r>
  </si>
  <si>
    <r>
      <t xml:space="preserve">      Banks </t>
    </r>
    <r>
      <rPr>
        <strike/>
        <sz val="10"/>
        <color rgb="FFFF0000"/>
        <rFont val="Arial"/>
        <family val="2"/>
      </rPr>
      <t xml:space="preserve">and securities dealers </t>
    </r>
    <r>
      <rPr>
        <b/>
        <strike/>
        <sz val="10"/>
        <color rgb="FFFF0000"/>
        <rFont val="Arial"/>
        <family val="2"/>
      </rPr>
      <t>(before IRB scaling factor)</t>
    </r>
  </si>
  <si>
    <r>
      <t xml:space="preserve">      Public Sector Entities and Multilateral Development Banks </t>
    </r>
    <r>
      <rPr>
        <strike/>
        <sz val="10"/>
        <color rgb="FFFF0000"/>
        <rFont val="Arial"/>
        <family val="2"/>
      </rPr>
      <t xml:space="preserve">Other institutions </t>
    </r>
    <r>
      <rPr>
        <b/>
        <strike/>
        <sz val="10"/>
        <color rgb="FFFF0000"/>
        <rFont val="Arial"/>
        <family val="2"/>
      </rPr>
      <t>(before IRB scaling factor)</t>
    </r>
  </si>
  <si>
    <r>
      <rPr>
        <sz val="10"/>
        <color rgb="FFFF0000"/>
        <rFont val="Arial"/>
        <family val="2"/>
      </rPr>
      <t xml:space="preserve">      Sovereigns </t>
    </r>
    <r>
      <rPr>
        <strike/>
        <sz val="10"/>
        <color rgb="FFFF0000"/>
        <rFont val="Arial"/>
        <family val="2"/>
      </rPr>
      <t xml:space="preserve">Central governments and central banks </t>
    </r>
    <r>
      <rPr>
        <b/>
        <strike/>
        <sz val="10"/>
        <color rgb="FFFF0000"/>
        <rFont val="Arial"/>
        <family val="2"/>
      </rPr>
      <t>(before IRB scaling factor)</t>
    </r>
  </si>
  <si>
    <r>
      <t>2.1.2.2.2</t>
    </r>
    <r>
      <rPr>
        <strike/>
        <sz val="10"/>
        <color rgb="FFFF0000"/>
        <rFont val="Arial"/>
        <family val="2"/>
      </rPr>
      <t>.1</t>
    </r>
  </si>
  <si>
    <r>
      <t>2.1.2.2.</t>
    </r>
    <r>
      <rPr>
        <sz val="10"/>
        <color rgb="FFFF0000"/>
        <rFont val="Arial"/>
        <family val="2"/>
      </rPr>
      <t>3</t>
    </r>
    <r>
      <rPr>
        <strike/>
        <sz val="10"/>
        <color rgb="FFFF0000"/>
        <rFont val="Arial"/>
        <family val="2"/>
      </rPr>
      <t>2.2</t>
    </r>
  </si>
  <si>
    <r>
      <t>2.1.2.2.</t>
    </r>
    <r>
      <rPr>
        <strike/>
        <sz val="10"/>
        <color rgb="FFFF0000"/>
        <rFont val="Arial"/>
        <family val="2"/>
      </rPr>
      <t>43</t>
    </r>
  </si>
  <si>
    <r>
      <t>2.1.2.2.</t>
    </r>
    <r>
      <rPr>
        <sz val="10"/>
        <color rgb="FFFF0000"/>
        <rFont val="Arial"/>
        <family val="2"/>
      </rPr>
      <t>4</t>
    </r>
    <r>
      <rPr>
        <strike/>
        <sz val="10"/>
        <color rgb="FFFF0000"/>
        <rFont val="Arial"/>
        <family val="2"/>
      </rPr>
      <t>3</t>
    </r>
    <r>
      <rPr>
        <sz val="10"/>
        <rFont val="Arial"/>
        <family val="2"/>
      </rPr>
      <t>.1</t>
    </r>
  </si>
  <si>
    <r>
      <t>2.1.2.2.</t>
    </r>
    <r>
      <rPr>
        <sz val="10"/>
        <color rgb="FFFF0000"/>
        <rFont val="Arial"/>
        <family val="2"/>
      </rPr>
      <t>4</t>
    </r>
    <r>
      <rPr>
        <strike/>
        <sz val="10"/>
        <color rgb="FFFF0000"/>
        <rFont val="Arial"/>
        <family val="2"/>
      </rPr>
      <t>3</t>
    </r>
    <r>
      <rPr>
        <sz val="10"/>
        <rFont val="Arial"/>
        <family val="2"/>
      </rPr>
      <t>.2</t>
    </r>
  </si>
  <si>
    <r>
      <t>2.1.2.2.</t>
    </r>
    <r>
      <rPr>
        <sz val="10"/>
        <color rgb="FFFF0000"/>
        <rFont val="Arial"/>
        <family val="2"/>
      </rPr>
      <t>5</t>
    </r>
    <r>
      <rPr>
        <strike/>
        <sz val="10"/>
        <color rgb="FFFF0000"/>
        <rFont val="Arial"/>
        <family val="2"/>
      </rPr>
      <t>4</t>
    </r>
  </si>
  <si>
    <r>
      <t>2.1.2.2.</t>
    </r>
    <r>
      <rPr>
        <sz val="10"/>
        <color rgb="FFFF0000"/>
        <rFont val="Arial"/>
        <family val="2"/>
      </rPr>
      <t>5</t>
    </r>
    <r>
      <rPr>
        <sz val="10"/>
        <rFont val="Arial"/>
        <family val="2"/>
      </rPr>
      <t>.1</t>
    </r>
  </si>
  <si>
    <r>
      <t>2.1.2.2.</t>
    </r>
    <r>
      <rPr>
        <sz val="10"/>
        <color rgb="FFFF0000"/>
        <rFont val="Arial"/>
        <family val="2"/>
      </rPr>
      <t>5</t>
    </r>
    <r>
      <rPr>
        <sz val="10"/>
        <rFont val="Arial"/>
        <family val="2"/>
      </rPr>
      <t>.2</t>
    </r>
  </si>
  <si>
    <r>
      <t>2.1.2.2.</t>
    </r>
    <r>
      <rPr>
        <sz val="10"/>
        <color rgb="FFFF0000"/>
        <rFont val="Arial"/>
        <family val="2"/>
      </rPr>
      <t>5</t>
    </r>
    <r>
      <rPr>
        <sz val="10"/>
        <rFont val="Arial"/>
        <family val="2"/>
      </rPr>
      <t>.3</t>
    </r>
  </si>
  <si>
    <t>of which: counterparty credit risk</t>
  </si>
  <si>
    <t xml:space="preserve">      Swiss Pfandbriefe and foreign covered bonds
      (art. 63 par. 3 let. b and par. 2 let .g Capital Ordinance, art. 71a and 71b Capital Ordinance)</t>
  </si>
  <si>
    <t>(-) Reductions in RWA as specified by FINMA</t>
  </si>
  <si>
    <t xml:space="preserve">of which increases/reductions in RWA as specified by FINMA </t>
  </si>
  <si>
    <t>RWA add-on for switch between trading book and banking book</t>
  </si>
  <si>
    <t>Standard&amp;Poors'</t>
  </si>
  <si>
    <t>Moody's</t>
  </si>
  <si>
    <t>FEDAFIN</t>
  </si>
  <si>
    <t>Fitch</t>
  </si>
  <si>
    <t>Instructions: if two ratings are the same, split Exposure amounts or RWA (TBD) btw. the two ECAIs</t>
  </si>
  <si>
    <t>…</t>
  </si>
  <si>
    <t>Sovereigns, central banks and supranational organisations</t>
  </si>
  <si>
    <t>Public sector entities</t>
  </si>
  <si>
    <t>Multilateral development banks</t>
  </si>
  <si>
    <t>Banks</t>
  </si>
  <si>
    <t>Foreign covered bonds</t>
  </si>
  <si>
    <t>Specialised lending</t>
  </si>
  <si>
    <t>Exposure amounts</t>
  </si>
  <si>
    <r>
      <t>80% &lt; LTV ≤ 90% (Base RW=11</t>
    </r>
    <r>
      <rPr>
        <sz val="10"/>
        <color rgb="FFFF0000"/>
        <rFont val="Arial"/>
        <family val="2"/>
      </rPr>
      <t>5</t>
    </r>
    <r>
      <rPr>
        <sz val="10"/>
        <rFont val="Arial"/>
        <family val="2"/>
      </rPr>
      <t>%)</t>
    </r>
  </si>
  <si>
    <r>
      <t>90% &lt; LTV ≤ 100% (Base RW=11</t>
    </r>
    <r>
      <rPr>
        <sz val="10"/>
        <color rgb="FFFF0000"/>
        <rFont val="Arial"/>
        <family val="2"/>
      </rPr>
      <t>5</t>
    </r>
    <r>
      <rPr>
        <sz val="10"/>
        <rFont val="Arial"/>
        <family val="2"/>
      </rPr>
      <t>%)</t>
    </r>
  </si>
  <si>
    <r>
      <t>LTV &gt;100% (Base RW=11</t>
    </r>
    <r>
      <rPr>
        <sz val="10"/>
        <color rgb="FFFF0000"/>
        <rFont val="Arial"/>
        <family val="2"/>
      </rPr>
      <t>5</t>
    </r>
    <r>
      <rPr>
        <sz val="10"/>
        <rFont val="Arial"/>
        <family val="2"/>
      </rPr>
      <t>%)</t>
    </r>
  </si>
  <si>
    <t>Use of ratings from recognised external credit rating agencies</t>
  </si>
  <si>
    <t>CVA</t>
  </si>
  <si>
    <t>P_CRSABIS_CRA</t>
  </si>
  <si>
    <t>P_DISCLOSURE_KM1</t>
  </si>
  <si>
    <t>OK</t>
  </si>
  <si>
    <t>of which: domestic buy-to-let</t>
  </si>
  <si>
    <t>of which: construction loans and land acquisition loans</t>
  </si>
  <si>
    <r>
      <t>60% &lt; LTV ≤ 70</t>
    </r>
    <r>
      <rPr>
        <sz val="10"/>
        <rFont val="Arial"/>
        <family val="2"/>
      </rPr>
      <t>% (Base RW=RW_Counterparty)</t>
    </r>
  </si>
  <si>
    <r>
      <t>6</t>
    </r>
    <r>
      <rPr>
        <sz val="10"/>
        <color rgb="FFFF0000"/>
        <rFont val="Arial"/>
        <family val="2"/>
      </rPr>
      <t>0</t>
    </r>
    <r>
      <rPr>
        <sz val="10"/>
        <rFont val="Arial"/>
        <family val="2"/>
      </rPr>
      <t>% &lt; LTV ≤ 70% (Base RW=100%)</t>
    </r>
  </si>
  <si>
    <r>
      <t xml:space="preserve">70% &lt; LTV ≤ </t>
    </r>
    <r>
      <rPr>
        <sz val="10"/>
        <color rgb="FFFF0000"/>
        <rFont val="Arial"/>
        <family val="2"/>
      </rPr>
      <t>80</t>
    </r>
    <r>
      <rPr>
        <sz val="10"/>
        <rFont val="Arial"/>
        <family val="2"/>
      </rPr>
      <t>% (Base RW=100%)</t>
    </r>
  </si>
  <si>
    <r>
      <t xml:space="preserve">70% &lt; LTV ≤ </t>
    </r>
    <r>
      <rPr>
        <sz val="10"/>
        <color rgb="FFFF0000"/>
        <rFont val="Arial"/>
        <family val="2"/>
      </rPr>
      <t>80</t>
    </r>
    <r>
      <rPr>
        <sz val="10"/>
        <rFont val="Arial"/>
        <family val="2"/>
      </rPr>
      <t>% (Base RW=60%)</t>
    </r>
  </si>
  <si>
    <t>Calculation of FX risk relative to base currency (instead of relative to reporting currency)</t>
  </si>
  <si>
    <r>
      <t xml:space="preserve">Summary of eligible capital, </t>
    </r>
    <r>
      <rPr>
        <b/>
        <strike/>
        <sz val="12"/>
        <color rgb="FFFF0000"/>
        <rFont val="Arial"/>
        <family val="2"/>
      </rPr>
      <t>RWA-based</t>
    </r>
    <r>
      <rPr>
        <b/>
        <strike/>
        <sz val="12"/>
        <rFont val="Arial"/>
        <family val="2"/>
      </rPr>
      <t xml:space="preserve"> capital requirements and capital ratios</t>
    </r>
    <r>
      <rPr>
        <b/>
        <strike/>
        <sz val="12"/>
        <color rgb="FFFF0000"/>
        <rFont val="Arial"/>
        <family val="2"/>
      </rPr>
      <t xml:space="preserve"> and key metrics 
(for disclosure)</t>
    </r>
  </si>
  <si>
    <r>
      <rPr>
        <b/>
        <strike/>
        <sz val="11"/>
        <color rgb="FFFF0000"/>
        <rFont val="Arial"/>
        <family val="2"/>
      </rPr>
      <t>RWA-based Mm</t>
    </r>
    <r>
      <rPr>
        <b/>
        <strike/>
        <sz val="11"/>
        <rFont val="Arial"/>
        <family val="2"/>
      </rPr>
      <t>inimum capital requirements</t>
    </r>
  </si>
  <si>
    <r>
      <t xml:space="preserve">Excess of capital relative to </t>
    </r>
    <r>
      <rPr>
        <b/>
        <strike/>
        <sz val="11"/>
        <color rgb="FFFF0000"/>
        <rFont val="Arial"/>
        <family val="2"/>
      </rPr>
      <t>RWA-based</t>
    </r>
    <r>
      <rPr>
        <b/>
        <strike/>
        <sz val="11"/>
        <rFont val="Arial"/>
        <family val="2"/>
      </rPr>
      <t xml:space="preserve"> minimum requirements (4.5% for CET1, 6% for T1 and 8% for total capital)</t>
    </r>
  </si>
  <si>
    <r>
      <t xml:space="preserve">Capital ratios, without taking into account the requirements covered by </t>
    </r>
    <r>
      <rPr>
        <b/>
        <strike/>
        <sz val="11"/>
        <color rgb="FFFF0000"/>
        <rFont val="Arial"/>
        <family val="2"/>
      </rPr>
      <t xml:space="preserve">a </t>
    </r>
    <r>
      <rPr>
        <b/>
        <strike/>
        <sz val="11"/>
        <rFont val="Arial"/>
        <family val="2"/>
      </rPr>
      <t>capital of better quality</t>
    </r>
  </si>
  <si>
    <t>Scope for curvature risk: inclusion of instruments without optionality in the calculation of curvature risk</t>
  </si>
  <si>
    <t>Distributional assumptions for vega sensitivities: log-normal or normal assumption</t>
  </si>
  <si>
    <t>Alternative definitions of vega sensitivities: transformation of the sensitivities computed for internal risk management purposes</t>
  </si>
  <si>
    <t>Risk weights of BCBS are divided by square-root of 2</t>
  </si>
  <si>
    <r>
      <t>3.</t>
    </r>
    <r>
      <rPr>
        <b/>
        <sz val="11"/>
        <color rgb="FFFF0000"/>
        <rFont val="Arial"/>
        <family val="2"/>
      </rPr>
      <t>1</t>
    </r>
  </si>
  <si>
    <r>
      <t>3.</t>
    </r>
    <r>
      <rPr>
        <b/>
        <sz val="11"/>
        <color rgb="FFFF0000"/>
        <rFont val="Arial"/>
        <family val="2"/>
      </rPr>
      <t>9</t>
    </r>
  </si>
  <si>
    <t>3.9.1</t>
  </si>
  <si>
    <t>Capital requirement based on leverage ratio exposure</t>
  </si>
  <si>
    <t>col. 03 to 12 &gt;=0</t>
  </si>
  <si>
    <t>col. 13 to 16 &lt;=0</t>
  </si>
  <si>
    <t>col. 17 to 18 &gt;=0</t>
  </si>
  <si>
    <t>col. 19 &lt;= 0</t>
  </si>
  <si>
    <t>col. 20 to 24 &gt;=0</t>
  </si>
  <si>
    <r>
      <t>20%</t>
    </r>
    <r>
      <rPr>
        <strike/>
        <sz val="10"/>
        <color rgb="FFFF0000"/>
        <rFont val="Arial"/>
        <family val="2"/>
      </rPr>
      <t>, of which</t>
    </r>
  </si>
  <si>
    <r>
      <rPr>
        <sz val="10"/>
        <color rgb="FFFF0000"/>
        <rFont val="Arial"/>
        <family val="2"/>
      </rPr>
      <t xml:space="preserve">      of which</t>
    </r>
    <r>
      <rPr>
        <sz val="10"/>
        <rFont val="Arial"/>
        <family val="2"/>
      </rPr>
      <t xml:space="preserve">: without credit assessment </t>
    </r>
  </si>
  <si>
    <r>
      <rPr>
        <sz val="10"/>
        <color rgb="FFFF0000"/>
        <rFont val="Arial"/>
        <family val="2"/>
      </rPr>
      <t xml:space="preserve">of which: </t>
    </r>
    <r>
      <rPr>
        <sz val="10"/>
        <rFont val="Arial"/>
        <family val="2"/>
      </rPr>
      <t>At single-entity level: minimum capital requirements for participations in financial sector entities to be consolidated (art. 32 let. j CAO)</t>
    </r>
  </si>
  <si>
    <r>
      <rPr>
        <sz val="10"/>
        <color rgb="FFFF0000"/>
        <rFont val="Arial"/>
        <family val="2"/>
      </rPr>
      <t>of which:</t>
    </r>
    <r>
      <rPr>
        <sz val="10"/>
        <rFont val="Arial"/>
        <family val="2"/>
      </rPr>
      <t xml:space="preserve"> At single-entity level: minimum capital requirements for participations in financial sector entities to be consolidated (art. 32 let. j CAO)</t>
    </r>
  </si>
  <si>
    <r>
      <t>250%</t>
    </r>
    <r>
      <rPr>
        <strike/>
        <sz val="10"/>
        <color rgb="FFFF0000"/>
        <rFont val="Arial"/>
        <family val="2"/>
      </rPr>
      <t>, of which</t>
    </r>
  </si>
  <si>
    <r>
      <t>150%</t>
    </r>
    <r>
      <rPr>
        <strike/>
        <sz val="10"/>
        <color rgb="FFFF0000"/>
        <rFont val="Arial"/>
        <family val="2"/>
      </rPr>
      <t>, of which</t>
    </r>
  </si>
  <si>
    <r>
      <t>100%</t>
    </r>
    <r>
      <rPr>
        <strike/>
        <sz val="10"/>
        <color rgb="FFFF0000"/>
        <rFont val="Arial"/>
        <family val="2"/>
      </rPr>
      <t>, of which</t>
    </r>
  </si>
  <si>
    <r>
      <t>50%</t>
    </r>
    <r>
      <rPr>
        <strike/>
        <sz val="10"/>
        <color rgb="FFFF0000"/>
        <rFont val="Arial"/>
        <family val="2"/>
      </rPr>
      <t>, of which</t>
    </r>
  </si>
  <si>
    <r>
      <t>400%</t>
    </r>
    <r>
      <rPr>
        <strike/>
        <sz val="10"/>
        <color rgb="FFFF0000"/>
        <rFont val="Arial"/>
        <family val="2"/>
      </rPr>
      <t>, of which</t>
    </r>
  </si>
  <si>
    <t>of which: buy-to-let</t>
  </si>
  <si>
    <r>
      <t>Subs</t>
    </r>
    <r>
      <rPr>
        <sz val="10"/>
        <color rgb="FFFF0000"/>
        <rFont val="Arial"/>
        <family val="2"/>
      </rPr>
      <t>t</t>
    </r>
    <r>
      <rPr>
        <sz val="10"/>
        <rFont val="Arial"/>
        <family val="2"/>
      </rPr>
      <t>itution effect increasing exposure amount (+)</t>
    </r>
  </si>
  <si>
    <t>col. 03 = sum(col. 04 to col. 11)</t>
  </si>
  <si>
    <t>Col. 20 = sum(col. 21 to col. 23)</t>
  </si>
  <si>
    <t>r01 &gt;= r02</t>
  </si>
  <si>
    <t>r02 &gt;= r03</t>
  </si>
  <si>
    <t>r02 &gt;= r04</t>
  </si>
  <si>
    <t>r12 &gt;= r13</t>
  </si>
  <si>
    <t>r12 &gt;= r14</t>
  </si>
  <si>
    <t>r15 &gt;= r16</t>
  </si>
  <si>
    <t>r15 &gt;= r17</t>
  </si>
  <si>
    <t>r18 &gt;= r19</t>
  </si>
  <si>
    <t>r18 &gt;= r20</t>
  </si>
  <si>
    <t>r21 &gt;= r22</t>
  </si>
  <si>
    <t>r21 &gt;= r23</t>
  </si>
  <si>
    <t>r24 &gt;= r25</t>
  </si>
  <si>
    <t>r24 &gt;= r26</t>
  </si>
  <si>
    <t>r27 &gt;= r28</t>
  </si>
  <si>
    <t>r27 &gt;= r29</t>
  </si>
  <si>
    <t>r30 &gt;= r31</t>
  </si>
  <si>
    <t>r30 &gt;= r32</t>
  </si>
  <si>
    <t>r33 &gt;= r34</t>
  </si>
  <si>
    <t>r33 &gt;= r35</t>
  </si>
  <si>
    <t>r36 &gt;= r37</t>
  </si>
  <si>
    <t>r36 &gt;= r38</t>
  </si>
  <si>
    <t>r51 &gt;= r52</t>
  </si>
  <si>
    <t>r51 &gt;= r53</t>
  </si>
  <si>
    <r>
      <t xml:space="preserve">r01 </t>
    </r>
    <r>
      <rPr>
        <b/>
        <sz val="10"/>
        <color rgb="FFFF0000"/>
        <rFont val="Arial"/>
        <family val="2"/>
      </rPr>
      <t>=</t>
    </r>
    <r>
      <rPr>
        <b/>
        <sz val="10"/>
        <rFont val="Arial"/>
        <family val="2"/>
      </rPr>
      <t xml:space="preserve"> r03 </t>
    </r>
    <r>
      <rPr>
        <b/>
        <sz val="10"/>
        <color rgb="FFFF0000"/>
        <rFont val="Arial"/>
        <family val="2"/>
      </rPr>
      <t>+ r04 +r05 + r06 + r07</t>
    </r>
  </si>
  <si>
    <t>Other adjustments (+/-)</t>
  </si>
  <si>
    <t xml:space="preserve">Additional check: reported RWA &gt;= automatically calculated RWA (due for example to FX mismatch multiplier). </t>
  </si>
  <si>
    <t>Additional check: reported RWA &gt;= automatically calculated RWA (due for example to FX mismatch multiplier). 
Note: The automatic calculation must reflect phase-in for equity.</t>
  </si>
  <si>
    <t>r01 = r06 + r07 +r08 + r09 + r10</t>
  </si>
  <si>
    <t>r01 = r05 + r06 + r07 +r08 + r09</t>
  </si>
  <si>
    <t>r11 &gt;= r12</t>
  </si>
  <si>
    <t>r13 &gt;= r14</t>
  </si>
  <si>
    <t>r22= r10 - r12 - r14 - r16</t>
  </si>
  <si>
    <t xml:space="preserve">2.2 
</t>
  </si>
  <si>
    <t xml:space="preserve">2.3
 </t>
  </si>
  <si>
    <t>2.5.1</t>
  </si>
  <si>
    <t>2.5.2</t>
  </si>
  <si>
    <t>2.5.3</t>
  </si>
  <si>
    <t>2.5.4</t>
  </si>
  <si>
    <t>2.5.5</t>
  </si>
  <si>
    <t>2.6.1.1</t>
  </si>
  <si>
    <t>2.1.5.1</t>
  </si>
  <si>
    <t>2.1.5.2</t>
  </si>
  <si>
    <t xml:space="preserve">2.1.5
</t>
  </si>
  <si>
    <t xml:space="preserve">2.1.6
</t>
  </si>
  <si>
    <t>2.1.6.1</t>
  </si>
  <si>
    <t>2.1.6.2</t>
  </si>
  <si>
    <t>2.1.6.3</t>
  </si>
  <si>
    <t>2.1.7</t>
  </si>
  <si>
    <t>2.1.7.1</t>
  </si>
  <si>
    <t>2.1.7.2</t>
  </si>
  <si>
    <t>2.1.7.3</t>
  </si>
  <si>
    <t>2.1.7.4</t>
  </si>
  <si>
    <r>
      <rPr>
        <strike/>
        <sz val="10"/>
        <color rgb="FFFF0000"/>
        <rFont val="Arial"/>
        <family val="2"/>
      </rPr>
      <t>Minimum capital requirements</t>
    </r>
    <r>
      <rPr>
        <sz val="10"/>
        <color rgb="FFFF0000"/>
        <rFont val="Arial"/>
        <family val="2"/>
      </rPr>
      <t xml:space="preserve"> RWA </t>
    </r>
    <r>
      <rPr>
        <sz val="10"/>
        <rFont val="Arial"/>
        <family val="2"/>
      </rPr>
      <t xml:space="preserve">for </t>
    </r>
    <r>
      <rPr>
        <sz val="10"/>
        <color rgb="FFFF0000"/>
        <rFont val="Arial"/>
        <family val="2"/>
      </rPr>
      <t>credit and counterparty credit risks</t>
    </r>
    <r>
      <rPr>
        <sz val="10"/>
        <rFont val="Arial"/>
        <family val="2"/>
      </rPr>
      <t xml:space="preserve"> under the SA-BIS
</t>
    </r>
    <r>
      <rPr>
        <sz val="10"/>
        <color rgb="FFFF0000"/>
        <rFont val="Arial"/>
        <family val="2"/>
      </rPr>
      <t>(art. 63 Capital Ordinance</t>
    </r>
    <r>
      <rPr>
        <sz val="10"/>
        <rFont val="Arial"/>
        <family val="2"/>
      </rPr>
      <t>)</t>
    </r>
  </si>
  <si>
    <t xml:space="preserve">2.1.1.1
 </t>
  </si>
  <si>
    <t>2.1.1.3</t>
  </si>
  <si>
    <t>2.1.1.4</t>
  </si>
  <si>
    <t>2.1.1.5</t>
  </si>
  <si>
    <t xml:space="preserve">2.1.1.7
 </t>
  </si>
  <si>
    <t xml:space="preserve">2.1.1.6 </t>
  </si>
  <si>
    <t xml:space="preserve">2.1.1.7.1
 </t>
  </si>
  <si>
    <t xml:space="preserve">2.1.1.7.1.1
 </t>
  </si>
  <si>
    <t xml:space="preserve">2.1.1.7.1.2
 </t>
  </si>
  <si>
    <t xml:space="preserve">2.1.1.7.1.3
 </t>
  </si>
  <si>
    <t xml:space="preserve">   (–) Reductions as per art. 148i CAO</t>
  </si>
  <si>
    <t xml:space="preserve">2.1.1.8
 </t>
  </si>
  <si>
    <t xml:space="preserve">2.1.1.9
 </t>
  </si>
  <si>
    <t xml:space="preserve">2.1.1.10
 </t>
  </si>
  <si>
    <t xml:space="preserve">2.1.1.11
 </t>
  </si>
  <si>
    <t xml:space="preserve">2.1.1.11.1
 </t>
  </si>
  <si>
    <r>
      <rPr>
        <strike/>
        <sz val="10"/>
        <color rgb="FFFF0000"/>
        <rFont val="Arial"/>
        <family val="2"/>
      </rPr>
      <t>Minimum capital requirements</t>
    </r>
    <r>
      <rPr>
        <sz val="10"/>
        <rFont val="Arial"/>
        <family val="2"/>
      </rPr>
      <t xml:space="preserve"> </t>
    </r>
    <r>
      <rPr>
        <sz val="10"/>
        <color rgb="FFFF0000"/>
        <rFont val="Arial"/>
        <family val="2"/>
      </rPr>
      <t xml:space="preserve">RWA </t>
    </r>
    <r>
      <rPr>
        <sz val="10"/>
        <rFont val="Arial"/>
        <family val="2"/>
      </rPr>
      <t xml:space="preserve">for </t>
    </r>
    <r>
      <rPr>
        <sz val="10"/>
        <color rgb="FFFF0000"/>
        <rFont val="Arial"/>
        <family val="2"/>
      </rPr>
      <t>credit and counterparty credit risks</t>
    </r>
    <r>
      <rPr>
        <sz val="10"/>
        <rFont val="Arial"/>
        <family val="2"/>
      </rPr>
      <t xml:space="preserve"> under the IRB 
(art. 77 Capital Ordinance</t>
    </r>
    <r>
      <rPr>
        <sz val="10"/>
        <color rgb="FFFF0000"/>
        <rFont val="Arial"/>
        <family val="2"/>
      </rPr>
      <t>, after consideration of sectorial upwards adjustment according to art. 77 par. 2 Capital Ordinance)</t>
    </r>
  </si>
  <si>
    <r>
      <t xml:space="preserve">Breakdown of total </t>
    </r>
    <r>
      <rPr>
        <b/>
        <i/>
        <sz val="10"/>
        <color rgb="FFFF0000"/>
        <rFont val="Arial"/>
        <family val="2"/>
      </rPr>
      <t>defaulted</t>
    </r>
    <r>
      <rPr>
        <i/>
        <sz val="10"/>
        <rFont val="Arial"/>
        <family val="2"/>
      </rPr>
      <t xml:space="preserve">
exposures by risk weights</t>
    </r>
  </si>
  <si>
    <r>
      <t xml:space="preserve">      of which: </t>
    </r>
    <r>
      <rPr>
        <strike/>
        <sz val="10"/>
        <rFont val="Arial"/>
        <family val="2"/>
      </rPr>
      <t xml:space="preserve">past due </t>
    </r>
    <r>
      <rPr>
        <sz val="10"/>
        <rFont val="Arial"/>
        <family val="2"/>
      </rPr>
      <t>defaulted exposures</t>
    </r>
  </si>
  <si>
    <t>= CRSABIS_02 [08/24]</t>
  </si>
  <si>
    <t>= CRSABIS_01 [08/24]</t>
  </si>
  <si>
    <t>= CRSABIS_03 [08/24]</t>
  </si>
  <si>
    <t>= CRSABIS_09 [08/24]</t>
  </si>
  <si>
    <r>
      <rPr>
        <strike/>
        <sz val="10"/>
        <color rgb="FFFF0000"/>
        <rFont val="Arial"/>
        <family val="2"/>
      </rPr>
      <t xml:space="preserve">Minimum capital requirements </t>
    </r>
    <r>
      <rPr>
        <sz val="10"/>
        <color rgb="FFFF0000"/>
        <rFont val="Arial"/>
        <family val="2"/>
      </rPr>
      <t>RWA</t>
    </r>
    <r>
      <rPr>
        <sz val="10"/>
        <rFont val="Arial"/>
        <family val="2"/>
      </rPr>
      <t xml:space="preserve"> for settlement risk 
   (art. 7</t>
    </r>
    <r>
      <rPr>
        <sz val="10"/>
        <color rgb="FFFF0000"/>
        <rFont val="Arial"/>
        <family val="2"/>
      </rPr>
      <t>7h</t>
    </r>
    <r>
      <rPr>
        <sz val="10"/>
        <rFont val="Arial"/>
        <family val="2"/>
      </rPr>
      <t xml:space="preserve"> par. </t>
    </r>
    <r>
      <rPr>
        <sz val="10"/>
        <color rgb="FFFF0000"/>
        <rFont val="Arial"/>
        <family val="2"/>
      </rPr>
      <t xml:space="preserve">3 </t>
    </r>
    <r>
      <rPr>
        <strike/>
        <sz val="10"/>
        <color rgb="FFFF0000"/>
        <rFont val="Arial"/>
        <family val="2"/>
      </rPr>
      <t xml:space="preserve">2 let. b </t>
    </r>
    <r>
      <rPr>
        <sz val="10"/>
        <rFont val="Arial"/>
        <family val="2"/>
      </rPr>
      <t>Capital Ordinance)</t>
    </r>
  </si>
  <si>
    <r>
      <rPr>
        <strike/>
        <sz val="10"/>
        <color rgb="FFFF0000"/>
        <rFont val="Arial"/>
        <family val="2"/>
      </rPr>
      <t xml:space="preserve">Minimum capital requirements </t>
    </r>
    <r>
      <rPr>
        <sz val="10"/>
        <color rgb="FFFF0000"/>
        <rFont val="Arial"/>
        <family val="2"/>
      </rPr>
      <t>RWA</t>
    </r>
    <r>
      <rPr>
        <sz val="10"/>
        <rFont val="Arial"/>
        <family val="2"/>
      </rPr>
      <t xml:space="preserve"> for settlement risk 
(art. 7</t>
    </r>
    <r>
      <rPr>
        <sz val="10"/>
        <color rgb="FFFF0000"/>
        <rFont val="Arial"/>
        <family val="2"/>
      </rPr>
      <t xml:space="preserve">7h </t>
    </r>
    <r>
      <rPr>
        <sz val="10"/>
        <rFont val="Arial"/>
        <family val="2"/>
      </rPr>
      <t xml:space="preserve"> par. </t>
    </r>
    <r>
      <rPr>
        <strike/>
        <sz val="10"/>
        <color rgb="FFFF0000"/>
        <rFont val="Arial"/>
        <family val="2"/>
      </rPr>
      <t>1</t>
    </r>
    <r>
      <rPr>
        <sz val="10"/>
        <color rgb="FFFF0000"/>
        <rFont val="Arial"/>
        <family val="2"/>
      </rPr>
      <t xml:space="preserve"> 2</t>
    </r>
    <r>
      <rPr>
        <sz val="10"/>
        <rFont val="Arial"/>
        <family val="2"/>
      </rPr>
      <t xml:space="preserve"> Capital Ordinance)</t>
    </r>
  </si>
  <si>
    <t>Settled not via a DvP or PvP system, of which:</t>
  </si>
  <si>
    <r>
      <rPr>
        <b/>
        <sz val="11"/>
        <color rgb="FFFF0000"/>
        <rFont val="Arial"/>
        <family val="2"/>
      </rPr>
      <t>Settled via a DvP or PvP system, of which:</t>
    </r>
    <r>
      <rPr>
        <b/>
        <sz val="11"/>
        <rFont val="Arial"/>
        <family val="2"/>
      </rPr>
      <t xml:space="preserve">  </t>
    </r>
    <r>
      <rPr>
        <b/>
        <strike/>
        <sz val="11"/>
        <color rgb="FFFF0000"/>
        <rFont val="Arial"/>
        <family val="2"/>
      </rPr>
      <t>Total unsettled transactions, of which</t>
    </r>
  </si>
  <si>
    <t>Total unsettled transactions</t>
  </si>
  <si>
    <r>
      <t xml:space="preserve">   Risk-weighted assets for equity investments in funds
    (art. </t>
    </r>
    <r>
      <rPr>
        <sz val="10"/>
        <color rgb="FFFF0000"/>
        <rFont val="Arial"/>
        <family val="2"/>
      </rPr>
      <t>59a</t>
    </r>
    <r>
      <rPr>
        <sz val="10"/>
        <rFont val="Arial"/>
        <family val="2"/>
      </rPr>
      <t xml:space="preserve"> Capital Ordinance)</t>
    </r>
  </si>
  <si>
    <r>
      <rPr>
        <strike/>
        <sz val="10"/>
        <color rgb="FFFF0000"/>
        <rFont val="Arial"/>
        <family val="2"/>
      </rPr>
      <t xml:space="preserve">Minimum capital requirements </t>
    </r>
    <r>
      <rPr>
        <sz val="10"/>
        <color rgb="FFFF0000"/>
        <rFont val="Arial"/>
        <family val="2"/>
      </rPr>
      <t>RWA</t>
    </r>
    <r>
      <rPr>
        <sz val="10"/>
        <rFont val="Arial"/>
        <family val="2"/>
      </rPr>
      <t xml:space="preserve"> for exposures against </t>
    </r>
    <r>
      <rPr>
        <strike/>
        <sz val="10"/>
        <color rgb="FFFF0000"/>
        <rFont val="Arial"/>
        <family val="2"/>
      </rPr>
      <t xml:space="preserve">default funds of </t>
    </r>
    <r>
      <rPr>
        <sz val="10"/>
        <rFont val="Arial"/>
        <family val="2"/>
      </rPr>
      <t>central counterparties (CCPs) 
(art. 7</t>
    </r>
    <r>
      <rPr>
        <sz val="10"/>
        <color rgb="FFFF0000"/>
        <rFont val="Arial"/>
        <family val="2"/>
      </rPr>
      <t>7a to 77e</t>
    </r>
    <r>
      <rPr>
        <strike/>
        <sz val="10"/>
        <color rgb="FFFF0000"/>
        <rFont val="Arial"/>
        <family val="2"/>
      </rPr>
      <t>0</t>
    </r>
    <r>
      <rPr>
        <sz val="10"/>
        <rFont val="Arial"/>
        <family val="2"/>
      </rPr>
      <t xml:space="preserve"> Capital Ordinance)</t>
    </r>
  </si>
  <si>
    <r>
      <rPr>
        <sz val="10"/>
        <color rgb="FFFF0000"/>
        <rFont val="Arial"/>
        <family val="2"/>
      </rPr>
      <t>RWA</t>
    </r>
    <r>
      <rPr>
        <strike/>
        <sz val="10"/>
        <color rgb="FFFF0000"/>
        <rFont val="Arial"/>
        <family val="2"/>
      </rPr>
      <t xml:space="preserve"> Minimum capital requirements</t>
    </r>
    <r>
      <rPr>
        <sz val="10"/>
        <rFont val="Arial"/>
        <family val="2"/>
      </rPr>
      <t xml:space="preserve"> for credit valuation adjustments (CVAs) 
(art. </t>
    </r>
    <r>
      <rPr>
        <sz val="10"/>
        <color rgb="FFFF0000"/>
        <rFont val="Arial"/>
        <family val="2"/>
      </rPr>
      <t>77g</t>
    </r>
    <r>
      <rPr>
        <strike/>
        <sz val="10"/>
        <color rgb="FFFF0000"/>
        <rFont val="Arial"/>
        <family val="2"/>
      </rPr>
      <t>55</t>
    </r>
    <r>
      <rPr>
        <sz val="10"/>
        <rFont val="Arial"/>
        <family val="2"/>
      </rPr>
      <t xml:space="preserve"> Capital Ordinance)</t>
    </r>
  </si>
  <si>
    <r>
      <t>Securitisation exposures in the banking book</t>
    </r>
    <r>
      <rPr>
        <sz val="10"/>
        <color rgb="FFFF0000"/>
        <rFont val="Arial"/>
        <family val="2"/>
      </rPr>
      <t xml:space="preserve"> (art. 59b Capital Ordinance)</t>
    </r>
  </si>
  <si>
    <r>
      <t xml:space="preserve">Total capital requirement (T1 + T2), taking into account the T2 requirement according to art. 42 par. 1 </t>
    </r>
    <r>
      <rPr>
        <sz val="10"/>
        <color rgb="FFFF0000"/>
        <rFont val="Arial"/>
        <family val="2"/>
      </rPr>
      <t>let. a,</t>
    </r>
    <r>
      <rPr>
        <sz val="10"/>
        <rFont val="Arial"/>
        <family val="2"/>
      </rPr>
      <t xml:space="preserve"> art. 43 and appendix 8 Capital 
Ordinance (incl. potential adjustment according to item 3.2.7.2)</t>
    </r>
  </si>
  <si>
    <r>
      <t xml:space="preserve">   Indication of the total T2 requirement according to art. 42 par. 1 </t>
    </r>
    <r>
      <rPr>
        <sz val="10"/>
        <color rgb="FFFF0000"/>
        <rFont val="Arial"/>
        <family val="2"/>
      </rPr>
      <t>let. a,</t>
    </r>
    <r>
      <rPr>
        <sz val="10"/>
        <rFont val="Arial"/>
        <family val="2"/>
      </rPr>
      <t xml:space="preserve"> art. 43 and appendix 8 Capital Ordinance, in percentage</t>
    </r>
  </si>
  <si>
    <t>Market risk of gold</t>
  </si>
  <si>
    <t>Market risk of currencies</t>
  </si>
  <si>
    <t>Gold</t>
  </si>
  <si>
    <t>1.3.a</t>
  </si>
  <si>
    <t>1.3.b</t>
  </si>
  <si>
    <t>1.2.a</t>
  </si>
  <si>
    <t>1.2.b</t>
  </si>
  <si>
    <t>1.1.a</t>
  </si>
  <si>
    <t>1.1.b</t>
  </si>
  <si>
    <t>De-minimis requirements according to banking book rules after application of multiplier of 2.5: Interest rate instruments</t>
  </si>
  <si>
    <t>De-minimis requirements according to banking book rules after application of multiplier of 2.5: Equities</t>
  </si>
  <si>
    <t>1.4.2.a</t>
  </si>
  <si>
    <t>1.4.2.b</t>
  </si>
  <si>
    <t>If De-minimis not used: Total before application of scaling factor</t>
  </si>
  <si>
    <t>If De-minimis not used: Total after application of scaling factor</t>
  </si>
  <si>
    <r>
      <t xml:space="preserve">Minimum requirements for market risks according to the simple standardised approach
</t>
    </r>
    <r>
      <rPr>
        <sz val="10"/>
        <rFont val="Arial"/>
        <family val="2"/>
      </rPr>
      <t>Arts. 83-86a Capital Ordinance</t>
    </r>
  </si>
  <si>
    <t>Securitisation Positions  (according to banking book rules)</t>
  </si>
  <si>
    <t>1.4.2.1</t>
  </si>
  <si>
    <t>1.4.2.2</t>
  </si>
  <si>
    <t>1.5.1</t>
  </si>
  <si>
    <t>1.5.2.1</t>
  </si>
  <si>
    <t>1.4.2.1.1</t>
  </si>
  <si>
    <t>1.4.2.1.1.1</t>
  </si>
  <si>
    <t>1.4.2.1.1.2</t>
  </si>
  <si>
    <t>1.4.2.1.1.2.1</t>
  </si>
  <si>
    <t>1.4.2.1.1.2.2</t>
  </si>
  <si>
    <t>1.4.2.1.1.2.3</t>
  </si>
  <si>
    <t>1.4.2.1.2</t>
  </si>
  <si>
    <t>1.4.2.1.1.1.1</t>
  </si>
  <si>
    <t>1.4.2.1.1.1.2</t>
  </si>
  <si>
    <t>1.4.2.1.1.1.2.1</t>
  </si>
  <si>
    <t>1.4.2.1.1.1.2.2</t>
  </si>
  <si>
    <t>1.4.2.1.1.1.2.3</t>
  </si>
  <si>
    <t>1.4.2.1.1.1.3</t>
  </si>
  <si>
    <t>1.4.2.1.1.1.4</t>
  </si>
  <si>
    <t>1.4.2.1.1.1.5</t>
  </si>
  <si>
    <t>1.4.2.2.1</t>
  </si>
  <si>
    <t>1.4.2.2.2</t>
  </si>
  <si>
    <t>1.4.2.3</t>
  </si>
  <si>
    <t>1.5.2.a</t>
  </si>
  <si>
    <t>1.5.2.1.1</t>
  </si>
  <si>
    <t>1.5.2.2</t>
  </si>
  <si>
    <t>1.5.2.2.1</t>
  </si>
  <si>
    <t>1.5.2.3</t>
  </si>
  <si>
    <t>1.5.2.b</t>
  </si>
  <si>
    <t>Market risk of interest rate instruments</t>
  </si>
  <si>
    <t>Market risk of equity instruments</t>
  </si>
  <si>
    <t>Memorandum item: Options</t>
  </si>
  <si>
    <t>2.1.5</t>
  </si>
  <si>
    <t>2.2.1.3</t>
  </si>
  <si>
    <t>2.2.1.4</t>
  </si>
  <si>
    <t>2.2.1.5</t>
  </si>
  <si>
    <t>2.2.2.3</t>
  </si>
  <si>
    <t>2.2.2.4</t>
  </si>
  <si>
    <t>2.2.2.5</t>
  </si>
  <si>
    <t>2.2.2.6</t>
  </si>
  <si>
    <r>
      <t xml:space="preserve">Memorandum item: De-minimis test
</t>
    </r>
    <r>
      <rPr>
        <i/>
        <sz val="10"/>
        <rFont val="Arial"/>
        <family val="2"/>
      </rPr>
      <t>(to be completed and passed if De-Minimis is used according to OPT worksheet, item 3.1)</t>
    </r>
  </si>
  <si>
    <t>3.2.1</t>
  </si>
  <si>
    <t>1.1.1.5</t>
  </si>
  <si>
    <t>1.1.1.6</t>
  </si>
  <si>
    <t>1.1.1.7</t>
  </si>
  <si>
    <t>1.1.3.1</t>
  </si>
  <si>
    <t>1.1.3.2</t>
  </si>
  <si>
    <t>1.1.3.3</t>
  </si>
  <si>
    <t>1.1.3.4</t>
  </si>
  <si>
    <t>1.1.3.5</t>
  </si>
  <si>
    <t>1.1.3.6</t>
  </si>
  <si>
    <t>1.1.3.7</t>
  </si>
  <si>
    <t>1.2.1.3</t>
  </si>
  <si>
    <t>1.3.2.3</t>
  </si>
  <si>
    <r>
      <t>IMA</t>
    </r>
    <r>
      <rPr>
        <b/>
        <vertAlign val="subscript"/>
        <sz val="10"/>
        <color theme="1"/>
        <rFont val="Arial"/>
        <family val="2"/>
      </rPr>
      <t>G,A</t>
    </r>
    <r>
      <rPr>
        <sz val="10"/>
        <color theme="1"/>
        <rFont val="Arial"/>
        <family val="2"/>
      </rPr>
      <t xml:space="preserve"> (MAR33.43)</t>
    </r>
  </si>
  <si>
    <r>
      <t>SA</t>
    </r>
    <r>
      <rPr>
        <b/>
        <vertAlign val="subscript"/>
        <sz val="10"/>
        <color theme="1"/>
        <rFont val="Arial"/>
        <family val="2"/>
      </rPr>
      <t>G,A</t>
    </r>
    <r>
      <rPr>
        <sz val="10"/>
        <color theme="1"/>
        <rFont val="Arial"/>
        <family val="2"/>
      </rPr>
      <t xml:space="preserve"> (MAR33.45)</t>
    </r>
  </si>
  <si>
    <t xml:space="preserve">      Exposure to foreign banks</t>
  </si>
  <si>
    <t>Test for CEM and SSA-CCR: RWA for derivatives incl. RWA for CVA-risks</t>
  </si>
  <si>
    <t>NA, only help file</t>
  </si>
  <si>
    <r>
      <t>Key metrics for disclosure</t>
    </r>
    <r>
      <rPr>
        <b/>
        <sz val="11"/>
        <color rgb="FF00B0F0"/>
        <rFont val="Arial"/>
        <family val="2"/>
      </rPr>
      <t>, excluding liquidity</t>
    </r>
  </si>
  <si>
    <t>4.7.34</t>
  </si>
  <si>
    <t>14b Basel III leverage ratio (%) (excluding the impact of any applicable temporary exemption of central bank reserves)</t>
  </si>
  <si>
    <t>4.7.35</t>
  </si>
  <si>
    <t>14c Basel III leverage ratio (%) (including the impact of any applicable temporary exemption of central bank reserves) incorporating mean values for SFT assets</t>
  </si>
  <si>
    <t>4.7.36</t>
  </si>
  <si>
    <t>14d Basel III leverage ratio (%) (excluding the impact of any applicable temporary exemption of central bank reserves) incorporating mean values for SFT assets</t>
  </si>
  <si>
    <t xml:space="preserve">      of which: Swiss Pfandbriefe</t>
  </si>
  <si>
    <r>
      <rPr>
        <b/>
        <strike/>
        <sz val="10"/>
        <color rgb="FFFF0000"/>
        <rFont val="Arial"/>
        <family val="2"/>
      </rPr>
      <t>r05 &gt;= r06</t>
    </r>
    <r>
      <rPr>
        <b/>
        <sz val="10"/>
        <color rgb="FFFF0000"/>
        <rFont val="Arial"/>
        <family val="2"/>
      </rPr>
      <t xml:space="preserve"> r13 &gt;= r14</t>
    </r>
  </si>
  <si>
    <r>
      <rPr>
        <b/>
        <strike/>
        <sz val="10"/>
        <color rgb="FFFF0000"/>
        <rFont val="Arial"/>
        <family val="2"/>
      </rPr>
      <t>r08 &gt;= r09</t>
    </r>
    <r>
      <rPr>
        <b/>
        <sz val="10"/>
        <color rgb="FFFF0000"/>
        <rFont val="Arial"/>
        <family val="2"/>
      </rPr>
      <t xml:space="preserve"> r20 &gt;= r21</t>
    </r>
  </si>
  <si>
    <t>r27 &gt;= r30</t>
  </si>
  <si>
    <r>
      <t xml:space="preserve">r16 &gt;= r17 </t>
    </r>
    <r>
      <rPr>
        <b/>
        <sz val="10"/>
        <color rgb="FFFF0000"/>
        <rFont val="Arial"/>
        <family val="2"/>
      </rPr>
      <t>r32 &gt;= r33</t>
    </r>
  </si>
  <si>
    <t>r35 &gt;= r36</t>
  </si>
  <si>
    <t>r38 &gt;= r37</t>
  </si>
  <si>
    <t>= CRSABIS_04 [08/24]</t>
  </si>
  <si>
    <t>= CRSABIS_05 [08/24]</t>
  </si>
  <si>
    <t>= CRSABIS_06 [08/24] + CRSABIS_07 [08/24]</t>
  </si>
  <si>
    <t>= CRSABIS_08 [08/24]</t>
  </si>
  <si>
    <t>=CRSABIS_10 [11/24] + CRSABIS_10 [39/24] + CRSABIS_11 [10/24] + CRSABIS_11 [20/24] + CRSABIS_11 [21/24] + CRSABIS_12 [12/24] + CRSABIS_12 [14/24] + CRSABIS_12 [16/24] + CRSABIS_12 [22/24] + CRSABIS_13 [10/24] + CRSABIS_13 [19/24] + CRSABIS_13 [20/24]</t>
  </si>
  <si>
    <t>= CRSABIS_xx [39/24] + CRSABIS_10 [50/24] + CRSABIS_11 [24/24] + CRSABIS_12 [33/24] + CRSABIS_13 [21/24]</t>
  </si>
  <si>
    <t>= CRSABIS_14 [08/24]</t>
  </si>
  <si>
    <t>of which: on-balance</t>
  </si>
  <si>
    <t>of which: off-balance items</t>
  </si>
  <si>
    <t>of which: off-balance</t>
  </si>
  <si>
    <r>
      <t xml:space="preserve">Credit </t>
    </r>
    <r>
      <rPr>
        <b/>
        <sz val="14"/>
        <color rgb="FFFF0000"/>
        <rFont val="Arial"/>
        <family val="2"/>
      </rPr>
      <t>and</t>
    </r>
    <r>
      <rPr>
        <b/>
        <strike/>
        <sz val="14"/>
        <color rgb="FFFF0000"/>
        <rFont val="Arial"/>
        <family val="2"/>
      </rPr>
      <t>,</t>
    </r>
    <r>
      <rPr>
        <b/>
        <sz val="14"/>
        <rFont val="Arial"/>
        <family val="2"/>
      </rPr>
      <t xml:space="preserve"> counterparty credit </t>
    </r>
    <r>
      <rPr>
        <b/>
        <strike/>
        <sz val="14"/>
        <color rgb="FFFF0000"/>
        <rFont val="Arial"/>
        <family val="2"/>
      </rPr>
      <t xml:space="preserve">and delivery </t>
    </r>
    <r>
      <rPr>
        <b/>
        <sz val="14"/>
        <rFont val="Arial"/>
        <family val="2"/>
      </rPr>
      <t xml:space="preserve">risks: </t>
    </r>
  </si>
  <si>
    <t>Credit and counterparty credit risks</t>
  </si>
  <si>
    <r>
      <t>Securities Financing Transactions</t>
    </r>
    <r>
      <rPr>
        <strike/>
        <sz val="10"/>
        <color rgb="FFFF0000"/>
        <rFont val="Arial"/>
        <family val="2"/>
      </rPr>
      <t xml:space="preserve"> and Long Settlement Transactions</t>
    </r>
  </si>
  <si>
    <r>
      <t xml:space="preserve">Derivatives </t>
    </r>
    <r>
      <rPr>
        <sz val="10"/>
        <color rgb="FFFF0000"/>
        <rFont val="Arial"/>
        <family val="2"/>
      </rPr>
      <t>and Long Settlement Transactions</t>
    </r>
  </si>
  <si>
    <r>
      <t xml:space="preserve">Breakdown of total </t>
    </r>
    <r>
      <rPr>
        <b/>
        <i/>
        <sz val="10"/>
        <color rgb="FFFF0000"/>
        <rFont val="Arial"/>
        <family val="2"/>
      </rPr>
      <t xml:space="preserve">non-defaulted </t>
    </r>
    <r>
      <rPr>
        <i/>
        <sz val="10"/>
        <rFont val="Arial"/>
        <family val="2"/>
      </rPr>
      <t xml:space="preserve">exposures by </t>
    </r>
    <r>
      <rPr>
        <i/>
        <sz val="10"/>
        <color rgb="FFFF0000"/>
        <rFont val="Arial"/>
        <family val="2"/>
      </rPr>
      <t>base</t>
    </r>
    <r>
      <rPr>
        <i/>
        <sz val="10"/>
        <rFont val="Arial"/>
        <family val="2"/>
      </rPr>
      <t xml:space="preserve"> risk weights </t>
    </r>
    <r>
      <rPr>
        <i/>
        <sz val="10"/>
        <color rgb="FFFF0000"/>
        <rFont val="Arial"/>
        <family val="2"/>
      </rPr>
      <t>after transitional provisions</t>
    </r>
  </si>
  <si>
    <t>Other behavioural</t>
  </si>
  <si>
    <t>1.3.2.4</t>
  </si>
  <si>
    <r>
      <t>r01 col.01 to r</t>
    </r>
    <r>
      <rPr>
        <sz val="10"/>
        <color rgb="FFFF0000"/>
        <rFont val="Arial"/>
        <family val="2"/>
      </rPr>
      <t>XY</t>
    </r>
    <r>
      <rPr>
        <sz val="10"/>
        <color theme="1"/>
        <rFont val="Arial"/>
        <family val="2"/>
      </rPr>
      <t xml:space="preserve"> col.04 &gt;= 0</t>
    </r>
  </si>
  <si>
    <t>1.1.2.3</t>
  </si>
  <si>
    <t>1.1.2.6</t>
  </si>
  <si>
    <t>1.4.2.1.1.3</t>
  </si>
  <si>
    <t>1.4.2.1.1.3.1</t>
  </si>
  <si>
    <t>1.4.2.1.1.3.2</t>
  </si>
  <si>
    <t>1.4.2.1.1.3.3</t>
  </si>
  <si>
    <t>4.7.37</t>
  </si>
  <si>
    <t>ERROR</t>
  </si>
  <si>
    <t>The bank / securities dealer confirms that the values stated above (with the exception of row 4a) correspond / will correspond to published values and takes note that these values may be published by FINMA as part of its Key Metrics disclosure. Enter "Yes" if confirmed, otherwise enter "No".</t>
  </si>
  <si>
    <r>
      <t>r01 col.01 to r</t>
    </r>
    <r>
      <rPr>
        <sz val="10"/>
        <color rgb="FFFF0000"/>
        <rFont val="Arial"/>
        <family val="2"/>
      </rPr>
      <t>XX</t>
    </r>
    <r>
      <rPr>
        <sz val="10"/>
        <color theme="1"/>
        <rFont val="Arial"/>
        <family val="2"/>
      </rPr>
      <t xml:space="preserve"> col.03 &gt;= 0</t>
    </r>
  </si>
  <si>
    <t>Other residual risk with non-exotic underlying</t>
  </si>
  <si>
    <t>of which: having synthetic risk indicator value of 5 to 7</t>
  </si>
  <si>
    <t>1.3.2.1.1</t>
  </si>
  <si>
    <t>1.3.2.1.2</t>
  </si>
  <si>
    <t>Behavioural risk</t>
  </si>
  <si>
    <t>Correlation risk (excl. Instruments with behavioural risk)</t>
  </si>
  <si>
    <t>Gap risk (excl. Instruments with correlation and/or behavioural risk)</t>
  </si>
  <si>
    <t>Information on BI given supervisory approval to exclude discontinued activities</t>
  </si>
  <si>
    <t>If no, is the exclusion of internal loss data due to non-compliance with the minimum loss data standards?</t>
  </si>
  <si>
    <t>2.4.4</t>
  </si>
  <si>
    <t>2.4.4.1</t>
  </si>
  <si>
    <t>2.4.4.2</t>
  </si>
  <si>
    <t>Counterparty Credit Risk</t>
  </si>
  <si>
    <t>Credit Risk</t>
  </si>
  <si>
    <t>3</t>
  </si>
  <si>
    <t>3.1.0</t>
  </si>
  <si>
    <t>3.1.4</t>
  </si>
  <si>
    <t>3.2.2</t>
  </si>
  <si>
    <t>3.2.3</t>
  </si>
  <si>
    <t>3.2.6</t>
  </si>
  <si>
    <t>Operational Risk</t>
  </si>
  <si>
    <t>2.1.3.3.1</t>
  </si>
  <si>
    <t>2.1.3.3.2</t>
  </si>
  <si>
    <t>2.1.3.4</t>
  </si>
  <si>
    <t>2.1.3.5</t>
  </si>
  <si>
    <t>Simplified approach in the trading book</t>
  </si>
  <si>
    <t>Equity risk: DeMinimis</t>
  </si>
  <si>
    <t>Simple approach</t>
  </si>
  <si>
    <t>Interest rate risks: DeMinimis approach</t>
  </si>
  <si>
    <t>Equity risk: Normal approach</t>
  </si>
  <si>
    <t>Interest rate risks: Normal approach &gt; Duration approach</t>
  </si>
  <si>
    <t>Interest rate risks: Normal approach &gt; Maturity-ladder approach</t>
  </si>
  <si>
    <t>Commodity Risk: Maturity-ladder approach</t>
  </si>
  <si>
    <t>Commodity Risk: Simplified approach</t>
  </si>
  <si>
    <t>5.3.1</t>
  </si>
  <si>
    <t>reduced BA-CVA RWA</t>
  </si>
  <si>
    <t>full BA-CVA RWA</t>
  </si>
  <si>
    <r>
      <t xml:space="preserve">LTA Exposure by </t>
    </r>
    <r>
      <rPr>
        <b/>
        <sz val="10"/>
        <color rgb="FFFF0000"/>
        <rFont val="Arial"/>
        <family val="2"/>
      </rPr>
      <t xml:space="preserve">weighted average </t>
    </r>
    <r>
      <rPr>
        <b/>
        <sz val="10"/>
        <rFont val="Arial"/>
        <family val="2"/>
      </rPr>
      <t>risk weight applied</t>
    </r>
  </si>
  <si>
    <r>
      <t xml:space="preserve">MBA Exposure by </t>
    </r>
    <r>
      <rPr>
        <b/>
        <sz val="10"/>
        <color rgb="FFFF0000"/>
        <rFont val="Arial"/>
        <family val="2"/>
      </rPr>
      <t xml:space="preserve">weighted average </t>
    </r>
    <r>
      <rPr>
        <b/>
        <sz val="10"/>
        <rFont val="Arial"/>
        <family val="2"/>
      </rPr>
      <t>risk weight applied</t>
    </r>
  </si>
  <si>
    <t>of which: domestic risk-weighted assets</t>
  </si>
  <si>
    <t>1.6</t>
  </si>
  <si>
    <t>2.1.6</t>
  </si>
  <si>
    <r>
      <rPr>
        <sz val="10"/>
        <rFont val="Arial"/>
        <family val="2"/>
      </rPr>
      <t>2.2</t>
    </r>
    <r>
      <rPr>
        <sz val="10"/>
        <color rgb="FFFF0000"/>
        <rFont val="Arial"/>
        <family val="2"/>
      </rPr>
      <t>.3</t>
    </r>
  </si>
  <si>
    <r>
      <rPr>
        <sz val="10"/>
        <rFont val="Arial"/>
        <family val="2"/>
      </rPr>
      <t>2.2</t>
    </r>
    <r>
      <rPr>
        <sz val="10"/>
        <color rgb="FFFF0000"/>
        <rFont val="Arial"/>
        <family val="2"/>
      </rPr>
      <t>.4</t>
    </r>
    <r>
      <rPr>
        <sz val="10"/>
        <color theme="1"/>
        <rFont val="Arial"/>
        <family val="2"/>
      </rPr>
      <t/>
    </r>
  </si>
  <si>
    <r>
      <rPr>
        <sz val="10"/>
        <rFont val="Arial"/>
        <family val="2"/>
      </rPr>
      <t>2.2</t>
    </r>
    <r>
      <rPr>
        <sz val="10"/>
        <color rgb="FFFF0000"/>
        <rFont val="Arial"/>
        <family val="2"/>
      </rPr>
      <t>.5</t>
    </r>
    <r>
      <rPr>
        <sz val="10"/>
        <color theme="1"/>
        <rFont val="Arial"/>
        <family val="2"/>
      </rPr>
      <t/>
    </r>
  </si>
  <si>
    <r>
      <t>Securities financing transaction exposures</t>
    </r>
    <r>
      <rPr>
        <b/>
        <sz val="10"/>
        <color rgb="FFFF0000"/>
        <rFont val="Arial"/>
        <family val="2"/>
      </rPr>
      <t>, based on gross SFT assets as of end of quarter</t>
    </r>
  </si>
  <si>
    <t>5.3.2</t>
  </si>
  <si>
    <t>5.3.3</t>
  </si>
  <si>
    <t>5.3.4</t>
  </si>
  <si>
    <t>5.3.5</t>
  </si>
  <si>
    <t>5.3.6</t>
  </si>
  <si>
    <t>5.3.7</t>
  </si>
  <si>
    <t>5.4.1</t>
  </si>
  <si>
    <t>5.4.2</t>
  </si>
  <si>
    <t>5.4.3</t>
  </si>
  <si>
    <t>5.4.4</t>
  </si>
  <si>
    <t>5.4.5</t>
  </si>
  <si>
    <t>1.12</t>
  </si>
  <si>
    <t>2.6.1.2</t>
  </si>
  <si>
    <t>2.6.1.3</t>
  </si>
  <si>
    <t>2.6.1.4</t>
  </si>
  <si>
    <r>
      <t xml:space="preserve">(-) Adjustments for temporary exemption of central bank reserves </t>
    </r>
    <r>
      <rPr>
        <sz val="10"/>
        <color rgb="FFFF0000"/>
        <rFont val="Arial"/>
        <family val="2"/>
      </rPr>
      <t xml:space="preserve">(if applicable) </t>
    </r>
  </si>
  <si>
    <t>(+/-) Adjustments for regular-way purchases and sales of financial assets subject to trade date accounting</t>
  </si>
  <si>
    <t>Approaches and optionalities used</t>
  </si>
  <si>
    <t>5.3.8</t>
  </si>
  <si>
    <t>7.1</t>
  </si>
  <si>
    <t>7.2</t>
  </si>
  <si>
    <r>
      <t xml:space="preserve">      Adjustments for banks using recognised international accounting standards
      (art. 31 par. 3 Capital Ordinance and</t>
    </r>
    <r>
      <rPr>
        <b/>
        <sz val="10"/>
        <color rgb="FFFF0000"/>
        <rFont val="Arial"/>
        <family val="2"/>
      </rPr>
      <t xml:space="preserve"> TBEO-FINMA</t>
    </r>
    <r>
      <rPr>
        <b/>
        <sz val="10"/>
        <rFont val="Arial"/>
        <family val="2"/>
      </rPr>
      <t>)</t>
    </r>
  </si>
  <si>
    <r>
      <t xml:space="preserve">      (–) Value adjustments due to the requirement for prudent valuation, gross amount
      (</t>
    </r>
    <r>
      <rPr>
        <sz val="10"/>
        <color rgb="FFFF0000"/>
        <rFont val="Arial"/>
        <family val="2"/>
      </rPr>
      <t>CAO art. 5b, TBEO-FINMA art. 16-24</t>
    </r>
    <r>
      <rPr>
        <sz val="10"/>
        <rFont val="Arial"/>
        <family val="2"/>
      </rPr>
      <t>)</t>
    </r>
  </si>
  <si>
    <r>
      <t>(+) Hidden reserves included in provisions, after deduction of the deferred taxes, if any
(</t>
    </r>
    <r>
      <rPr>
        <sz val="10"/>
        <color rgb="FFFF0000"/>
        <rFont val="Arial"/>
        <family val="2"/>
      </rPr>
      <t>TBEO-FINMA art. 43 par. 1 let. a</t>
    </r>
    <r>
      <rPr>
        <sz val="10"/>
        <rFont val="Arial"/>
        <family val="2"/>
      </rPr>
      <t>)</t>
    </r>
  </si>
  <si>
    <r>
      <t>(+) Hidden reserves included in participating interests and tangible fixed assets, after deduction of the deferred taxes, if any 
(</t>
    </r>
    <r>
      <rPr>
        <sz val="10"/>
        <color rgb="FFFF0000"/>
        <rFont val="Arial"/>
        <family val="2"/>
      </rPr>
      <t>TBEO-FINMA art. 43 par. 1 let. b</t>
    </r>
    <r>
      <rPr>
        <sz val="10"/>
        <rFont val="Arial"/>
        <family val="2"/>
      </rPr>
      <t>)</t>
    </r>
  </si>
  <si>
    <r>
      <t>(+) Revaluation reserves in available-for-sale equity securities and available-for-sale debt securities
(</t>
    </r>
    <r>
      <rPr>
        <sz val="10"/>
        <color rgb="FFFF0000"/>
        <rFont val="Arial"/>
        <family val="2"/>
      </rPr>
      <t>TBEO-FINMA art. 43 par. 1 let. c</t>
    </r>
    <r>
      <rPr>
        <sz val="10"/>
        <rFont val="Arial"/>
        <family val="2"/>
      </rPr>
      <t>)</t>
    </r>
  </si>
  <si>
    <r>
      <t>(+) General provisions for default risk under the international standardised approach
(</t>
    </r>
    <r>
      <rPr>
        <sz val="10"/>
        <color rgb="FFFF0000"/>
        <rFont val="Arial"/>
        <family val="2"/>
      </rPr>
      <t>TBEO-FINMA art. 40 par. 1</t>
    </r>
    <r>
      <rPr>
        <sz val="10"/>
        <rFont val="Arial"/>
        <family val="2"/>
      </rPr>
      <t>)</t>
    </r>
  </si>
  <si>
    <r>
      <t>(+) Provision excess under the IRB approach
(</t>
    </r>
    <r>
      <rPr>
        <sz val="10"/>
        <color rgb="FFFF0000"/>
        <rFont val="Arial"/>
        <family val="2"/>
      </rPr>
      <t>TBEO-FINMA art. 42</t>
    </r>
    <r>
      <rPr>
        <sz val="10"/>
        <rFont val="Arial"/>
        <family val="2"/>
      </rPr>
      <t>)</t>
    </r>
  </si>
  <si>
    <r>
      <rPr>
        <sz val="10"/>
        <color rgb="FFFF0000"/>
        <rFont val="Arial"/>
        <family val="2"/>
      </rPr>
      <t xml:space="preserve">Output </t>
    </r>
    <r>
      <rPr>
        <sz val="10"/>
        <rFont val="Arial"/>
        <family val="2"/>
      </rPr>
      <t>Floor adjustment</t>
    </r>
    <r>
      <rPr>
        <strike/>
        <sz val="10"/>
        <color rgb="FFFF0000"/>
        <rFont val="Arial"/>
        <family val="2"/>
      </rPr>
      <t xml:space="preserve"> IRB / AMA</t>
    </r>
    <r>
      <rPr>
        <sz val="10"/>
        <rFont val="Arial"/>
        <family val="2"/>
      </rPr>
      <t xml:space="preserve"> (</t>
    </r>
    <r>
      <rPr>
        <sz val="10"/>
        <color rgb="FFFF0000"/>
        <rFont val="Arial"/>
        <family val="2"/>
      </rPr>
      <t>Art. 45a par. 3 Capital Ordinance</t>
    </r>
    <r>
      <rPr>
        <sz val="10"/>
        <rFont val="Arial"/>
        <family val="2"/>
      </rPr>
      <t>)</t>
    </r>
  </si>
  <si>
    <t>r01 col.01 to r20 col.02 &gt;= 0</t>
  </si>
  <si>
    <r>
      <t>r01 col.04 to r</t>
    </r>
    <r>
      <rPr>
        <sz val="10"/>
        <color rgb="FFFF0000"/>
        <rFont val="Arial"/>
        <family val="2"/>
      </rPr>
      <t>XX</t>
    </r>
    <r>
      <rPr>
        <sz val="10"/>
        <color theme="1"/>
        <rFont val="Arial"/>
        <family val="2"/>
      </rPr>
      <t xml:space="preserve"> col.06 &gt;= 0</t>
    </r>
  </si>
  <si>
    <t>If panel 1 is filled in, other panels should be left empty</t>
  </si>
  <si>
    <t>Current exposure approach</t>
  </si>
  <si>
    <r>
      <rPr>
        <b/>
        <sz val="10"/>
        <color indexed="8"/>
        <rFont val="Arial"/>
        <family val="2"/>
      </rPr>
      <t>Explanations:</t>
    </r>
    <r>
      <rPr>
        <sz val="10"/>
        <color theme="1"/>
        <rFont val="Arial"/>
        <family val="2"/>
      </rPr>
      <t xml:space="preserve"> Please read the explanations required for this survey at:</t>
    </r>
    <r>
      <rPr>
        <i/>
        <u/>
        <sz val="10"/>
        <color indexed="8"/>
        <rFont val="Arial"/>
        <family val="2"/>
      </rPr>
      <t xml:space="preserve"> [www.finma.ch/...]</t>
    </r>
  </si>
  <si>
    <r>
      <t xml:space="preserve">Additional information required can be found at </t>
    </r>
    <r>
      <rPr>
        <i/>
        <u/>
        <sz val="10"/>
        <color indexed="8"/>
        <rFont val="Arial"/>
        <family val="2"/>
      </rPr>
      <t>www.finma.ch/…</t>
    </r>
  </si>
  <si>
    <t>[…]</t>
  </si>
  <si>
    <t>Capital adequacy reporting form in the context of Basel 3 final</t>
  </si>
  <si>
    <t>A.M. Best Rating Services Inc</t>
  </si>
  <si>
    <t>DBRS</t>
  </si>
  <si>
    <t>fedafin AG</t>
  </si>
  <si>
    <t>Fitch Ratings</t>
  </si>
  <si>
    <t xml:space="preserve">Moody's Investors Service </t>
  </si>
  <si>
    <t>Scope Ratings</t>
  </si>
  <si>
    <t>Standard &amp; Poor's Ratings Services</t>
  </si>
  <si>
    <t>Other no. 1</t>
  </si>
  <si>
    <t>Other no. 2</t>
  </si>
  <si>
    <t>Other no. 3</t>
  </si>
  <si>
    <t>Usage of External Ratings from External Rating Agencies for determination of RWA</t>
  </si>
  <si>
    <t>Usage of Country Risk Scores from Export Credit Agencies</t>
  </si>
  <si>
    <t>SERV</t>
  </si>
  <si>
    <t>Other</t>
  </si>
  <si>
    <t>External ratings refer to the following market segments</t>
  </si>
  <si>
    <t>4.7.38</t>
  </si>
  <si>
    <t>4.7.10</t>
  </si>
  <si>
    <r>
      <t xml:space="preserve">4a    </t>
    </r>
    <r>
      <rPr>
        <sz val="10"/>
        <color rgb="FFFF0000"/>
        <rFont val="Arial"/>
        <family val="2"/>
      </rPr>
      <t xml:space="preserve"> Total risk-weighted assets (pre-floor)</t>
    </r>
  </si>
  <si>
    <r>
      <t xml:space="preserve">Total </t>
    </r>
    <r>
      <rPr>
        <b/>
        <strike/>
        <sz val="12"/>
        <color rgb="FFFF0000"/>
        <rFont val="Arial"/>
        <family val="2"/>
      </rPr>
      <t>minimum</t>
    </r>
    <r>
      <rPr>
        <b/>
        <sz val="12"/>
        <color rgb="FFFF0000"/>
        <rFont val="Arial"/>
        <family val="2"/>
      </rPr>
      <t xml:space="preserve"> risk-weighted assets (RWA) </t>
    </r>
    <r>
      <rPr>
        <b/>
        <strike/>
        <sz val="12"/>
        <color rgb="FFFF0000"/>
        <rFont val="Arial"/>
        <family val="2"/>
      </rPr>
      <t>capital requirements</t>
    </r>
    <r>
      <rPr>
        <b/>
        <sz val="12"/>
        <rFont val="Arial"/>
        <family val="2"/>
      </rPr>
      <t xml:space="preserve">
(art. 42</t>
    </r>
    <r>
      <rPr>
        <b/>
        <sz val="12"/>
        <color rgb="FFFF0000"/>
        <rFont val="Arial"/>
        <family val="2"/>
      </rPr>
      <t>a</t>
    </r>
    <r>
      <rPr>
        <b/>
        <sz val="12"/>
        <rFont val="Arial"/>
        <family val="2"/>
      </rPr>
      <t xml:space="preserve"> Capital Ordinance)</t>
    </r>
  </si>
  <si>
    <r>
      <rPr>
        <b/>
        <strike/>
        <sz val="12"/>
        <rFont val="Arial"/>
        <family val="2"/>
      </rPr>
      <t>RWA-based c</t>
    </r>
    <r>
      <rPr>
        <b/>
        <sz val="12"/>
        <color rgb="FFFF0000"/>
        <rFont val="Arial"/>
        <family val="2"/>
      </rPr>
      <t>Minimum c</t>
    </r>
    <r>
      <rPr>
        <b/>
        <sz val="12"/>
        <rFont val="Arial"/>
        <family val="2"/>
      </rPr>
      <t>apital requirements</t>
    </r>
  </si>
  <si>
    <r>
      <t xml:space="preserve">RWA-based </t>
    </r>
    <r>
      <rPr>
        <b/>
        <strike/>
        <sz val="12"/>
        <color rgb="FFFF0000"/>
        <rFont val="Arial"/>
        <family val="2"/>
      </rPr>
      <t>minimum</t>
    </r>
    <r>
      <rPr>
        <b/>
        <sz val="12"/>
        <rFont val="Arial"/>
        <family val="2"/>
      </rPr>
      <t xml:space="preserve"> capital requirements</t>
    </r>
  </si>
  <si>
    <r>
      <t xml:space="preserve">Capital sheet - </t>
    </r>
    <r>
      <rPr>
        <b/>
        <strike/>
        <sz val="14"/>
        <color rgb="FFFF0000"/>
        <rFont val="Arial"/>
        <family val="2"/>
      </rPr>
      <t xml:space="preserve">Minimum capital requirements </t>
    </r>
    <r>
      <rPr>
        <b/>
        <sz val="14"/>
        <color rgb="FFFF0000"/>
        <rFont val="Arial"/>
        <family val="2"/>
      </rPr>
      <t>Risk-weighted assets (RWA) and Leverage Ratio Denominator (LRD)</t>
    </r>
    <r>
      <rPr>
        <b/>
        <sz val="14"/>
        <rFont val="Arial"/>
        <family val="2"/>
      </rPr>
      <t xml:space="preserve"> </t>
    </r>
  </si>
  <si>
    <r>
      <t xml:space="preserve">Total </t>
    </r>
    <r>
      <rPr>
        <b/>
        <sz val="12"/>
        <color rgb="FFFF0000"/>
        <rFont val="Arial"/>
        <family val="2"/>
      </rPr>
      <t>minimum</t>
    </r>
    <r>
      <rPr>
        <b/>
        <sz val="12"/>
        <rFont val="Arial"/>
        <family val="2"/>
      </rPr>
      <t xml:space="preserve"> requirement</t>
    </r>
    <r>
      <rPr>
        <b/>
        <sz val="12"/>
        <color rgb="FFFF0000"/>
        <rFont val="Arial"/>
        <family val="2"/>
      </rPr>
      <t>: Maximum of RWA- and LRD-based amounts</t>
    </r>
  </si>
  <si>
    <r>
      <t>T</t>
    </r>
    <r>
      <rPr>
        <sz val="10"/>
        <color rgb="FFFF0000"/>
        <rFont val="Arial"/>
        <family val="2"/>
      </rPr>
      <t>ier</t>
    </r>
    <r>
      <rPr>
        <sz val="10"/>
        <rFont val="Arial"/>
        <family val="2"/>
      </rPr>
      <t xml:space="preserve"> 1 </t>
    </r>
    <r>
      <rPr>
        <sz val="10"/>
        <color rgb="FFFF0000"/>
        <rFont val="Arial"/>
        <family val="2"/>
      </rPr>
      <t>minimum</t>
    </r>
    <r>
      <rPr>
        <sz val="10"/>
        <rFont val="Arial"/>
        <family val="2"/>
      </rPr>
      <t xml:space="preserve"> </t>
    </r>
    <r>
      <rPr>
        <sz val="10"/>
        <color rgb="FFFF0000"/>
        <rFont val="Arial"/>
        <family val="2"/>
      </rPr>
      <t>r</t>
    </r>
    <r>
      <rPr>
        <sz val="10"/>
        <rFont val="Arial"/>
        <family val="2"/>
      </rPr>
      <t xml:space="preserve">equirement </t>
    </r>
    <r>
      <rPr>
        <strike/>
        <sz val="10"/>
        <color rgb="FFFF0000"/>
        <rFont val="Arial"/>
        <family val="2"/>
      </rPr>
      <t>(maximum of RWA- and LRD-based T1 amounts)</t>
    </r>
  </si>
  <si>
    <t xml:space="preserve">2.1.1.7.2
 </t>
  </si>
  <si>
    <t>Of which: Participations in financial sector entities above the thresholds (Annex 4 items 1.5 Capital Ordinance)</t>
  </si>
  <si>
    <t>3.8.1</t>
  </si>
  <si>
    <t>3.9.2</t>
  </si>
  <si>
    <t>Lift-up in RWA resulting from sectorial 72.5% floor on exposures secured by real estate properties located in Switzerland (unless already reflected in RWA above - eg via multipliers)</t>
  </si>
  <si>
    <r>
      <t xml:space="preserve">Capital requirement based on leverage ratio exposure </t>
    </r>
    <r>
      <rPr>
        <sz val="10"/>
        <color rgb="FFFF0000"/>
        <rFont val="Arial"/>
        <family val="2"/>
      </rPr>
      <t>(ie leverage ratio denominator (LRD))</t>
    </r>
  </si>
  <si>
    <t xml:space="preserve">1.2.8
  </t>
  </si>
  <si>
    <t>1.2.12</t>
  </si>
  <si>
    <t xml:space="preserve">2.1.1.9.1
 </t>
  </si>
  <si>
    <t xml:space="preserve">2.1.1.9.2
 </t>
  </si>
  <si>
    <t xml:space="preserve">2.1.1.9.3
 </t>
  </si>
  <si>
    <t xml:space="preserve">2.1.1.9.4
 </t>
  </si>
  <si>
    <t>=CRSABIS_10 [11/24] + CRSABIS_10 [39/24]</t>
  </si>
  <si>
    <t>=CRSABIS_11 [10/24] + CRSABIS_11 [20/24] + CRSABIS_11 [21/24]</t>
  </si>
  <si>
    <t>=CRSABIS_12 [12/24] + CRSABIS_12 [14/24] + CRSABIS_12 [16/24] + CRSABIS_12 [22/24]</t>
  </si>
  <si>
    <t>=CRSABIS_13 [10/24] + CRSABIS_13 [19/24] + CRSABIS_13 [20/24]</t>
  </si>
  <si>
    <t xml:space="preserve">1.2.4
  </t>
  </si>
  <si>
    <t>1.2.10</t>
  </si>
  <si>
    <t xml:space="preserve">1.2.11.1
  </t>
  </si>
  <si>
    <t xml:space="preserve">1.2.11.2
  </t>
  </si>
  <si>
    <t xml:space="preserve">1.2.11.3
  </t>
  </si>
  <si>
    <t xml:space="preserve">1.2.11.4
  </t>
  </si>
  <si>
    <t xml:space="preserve">1.2.11.5
  </t>
  </si>
  <si>
    <t xml:space="preserve">1.2.11.6
  </t>
  </si>
  <si>
    <t>1.2.11.7</t>
  </si>
  <si>
    <t xml:space="preserve">1.2.12.1
  </t>
  </si>
  <si>
    <t>1.2.12.2</t>
  </si>
  <si>
    <t>1.2.13</t>
  </si>
  <si>
    <t>1.5.1.1</t>
  </si>
  <si>
    <r>
      <t>1.5.1.2</t>
    </r>
    <r>
      <rPr>
        <sz val="10"/>
        <color theme="1"/>
        <rFont val="Arial"/>
        <family val="2"/>
      </rPr>
      <t/>
    </r>
  </si>
  <si>
    <r>
      <t>1.5.1.3</t>
    </r>
    <r>
      <rPr>
        <sz val="10"/>
        <color theme="1"/>
        <rFont val="Arial"/>
        <family val="2"/>
      </rPr>
      <t/>
    </r>
  </si>
  <si>
    <t>1.5.2</t>
  </si>
  <si>
    <r>
      <t>1.5.3</t>
    </r>
    <r>
      <rPr>
        <sz val="10"/>
        <color theme="1"/>
        <rFont val="Arial"/>
        <family val="2"/>
      </rPr>
      <t/>
    </r>
  </si>
  <si>
    <r>
      <t>1.5.4</t>
    </r>
    <r>
      <rPr>
        <sz val="10"/>
        <color theme="1"/>
        <rFont val="Arial"/>
        <family val="2"/>
      </rPr>
      <t/>
    </r>
  </si>
  <si>
    <r>
      <t xml:space="preserve">Memorandum item: </t>
    </r>
    <r>
      <rPr>
        <b/>
        <sz val="11"/>
        <rFont val="Arial"/>
        <family val="2"/>
      </rPr>
      <t>T2 instruments subject to decreasing recognition for the 5 years before maturity, including</t>
    </r>
    <r>
      <rPr>
        <b/>
        <sz val="11"/>
        <color rgb="FFFF0000"/>
        <rFont val="Arial"/>
        <family val="2"/>
      </rPr>
      <t xml:space="preserve"> </t>
    </r>
    <r>
      <rPr>
        <strike/>
        <sz val="10"/>
        <color rgb="FFFF0000"/>
        <rFont val="Arial"/>
        <family val="2"/>
      </rPr>
      <t>those having the benefit of transitional arrangements and</t>
    </r>
    <r>
      <rPr>
        <sz val="10"/>
        <color rgb="FFFF0000"/>
        <rFont val="Arial"/>
        <family val="2"/>
      </rPr>
      <t xml:space="preserve"> </t>
    </r>
    <r>
      <rPr>
        <sz val="10"/>
        <rFont val="Arial"/>
        <family val="2"/>
      </rPr>
      <t>those in the hands of eligible minority interests (gross amount)
(art. 30 par. 2 Capital Ordinance)</t>
    </r>
  </si>
  <si>
    <t>1.1.2.8</t>
  </si>
  <si>
    <t xml:space="preserve">1.1.2.7.1
  </t>
  </si>
  <si>
    <t xml:space="preserve">1.1.2.7.2
  </t>
  </si>
  <si>
    <t xml:space="preserve">1.1.2.7.3
  </t>
  </si>
  <si>
    <t xml:space="preserve">1.1.2.7.4
  </t>
  </si>
  <si>
    <t xml:space="preserve">1.1.2.7.5
  </t>
  </si>
  <si>
    <t xml:space="preserve">1.1.2.7.6
  </t>
  </si>
  <si>
    <t xml:space="preserve">1.1.2.7.7
  </t>
  </si>
  <si>
    <t>1.1.2.9</t>
  </si>
  <si>
    <t>1.1.2.9.1</t>
  </si>
  <si>
    <t>1.1.2.9.2</t>
  </si>
  <si>
    <t xml:space="preserve">1.1.1.5
  </t>
  </si>
  <si>
    <t xml:space="preserve">1.1.1.6
  </t>
  </si>
  <si>
    <t xml:space="preserve">1.1.1.7
  </t>
  </si>
  <si>
    <t xml:space="preserve">1.1.1.11.5
  </t>
  </si>
  <si>
    <t>1.1.1.11.6</t>
  </si>
  <si>
    <t xml:space="preserve">1.1.1.11.7
  </t>
  </si>
  <si>
    <t xml:space="preserve">1.1.1.11.8
  </t>
  </si>
  <si>
    <t xml:space="preserve">1.1.1.11.9
  </t>
  </si>
  <si>
    <t>1.1.1.11.10</t>
  </si>
  <si>
    <t>1.1.1.11.11</t>
  </si>
  <si>
    <t xml:space="preserve">1.1.1.11.12
  </t>
  </si>
  <si>
    <t>1.1.1.11.13</t>
  </si>
  <si>
    <t xml:space="preserve">1.1.1.11.14
  </t>
  </si>
  <si>
    <t>1.1.1.11.15</t>
  </si>
  <si>
    <t xml:space="preserve">1.1.1.14
  </t>
  </si>
  <si>
    <t xml:space="preserve">1.1.1.16
  </t>
  </si>
  <si>
    <t xml:space="preserve">1.1.1.19
  </t>
  </si>
  <si>
    <t xml:space="preserve">1.1.1.21
  </t>
  </si>
  <si>
    <t>1.1.1.22</t>
  </si>
  <si>
    <t xml:space="preserve">1.1.1.23
</t>
  </si>
  <si>
    <t xml:space="preserve">1.1.1.24
 </t>
  </si>
  <si>
    <t>1.1.1.26</t>
  </si>
  <si>
    <t>1.1.1.26.1</t>
  </si>
  <si>
    <t>1.1.1.26.2</t>
  </si>
  <si>
    <t>1.1.1.27</t>
  </si>
  <si>
    <t xml:space="preserve">1.3
  </t>
  </si>
  <si>
    <t>1.3.4</t>
  </si>
  <si>
    <t>1.3.5</t>
  </si>
  <si>
    <t>1.3.6</t>
  </si>
  <si>
    <r>
      <t xml:space="preserve">CET1 capital, amount available after preliminary adjustments </t>
    </r>
    <r>
      <rPr>
        <strike/>
        <sz val="10"/>
        <color rgb="FFFF0000"/>
        <rFont val="Arial"/>
        <family val="2"/>
      </rPr>
      <t>(see 1.1.1.10)</t>
    </r>
  </si>
  <si>
    <r>
      <t>Total regulatory capital, after adjustments</t>
    </r>
    <r>
      <rPr>
        <strike/>
        <sz val="10"/>
        <color rgb="FFFF0000"/>
        <rFont val="Arial"/>
        <family val="2"/>
      </rPr>
      <t xml:space="preserve"> (1.1.4 + 1.2.19)</t>
    </r>
  </si>
  <si>
    <r>
      <t xml:space="preserve">T2 capital, after adjustments </t>
    </r>
    <r>
      <rPr>
        <strike/>
        <sz val="10"/>
        <color rgb="FFFF0000"/>
        <rFont val="Arial"/>
        <family val="2"/>
      </rPr>
      <t>(see 1.2.19)</t>
    </r>
  </si>
  <si>
    <r>
      <t>T2 capital, amount available before adjustments</t>
    </r>
    <r>
      <rPr>
        <strike/>
        <sz val="10"/>
        <color rgb="FFFF0000"/>
        <rFont val="Arial"/>
        <family val="2"/>
      </rPr>
      <t xml:space="preserve"> (1.2.14)</t>
    </r>
  </si>
  <si>
    <r>
      <t>T1 capital, after adjustments</t>
    </r>
    <r>
      <rPr>
        <strike/>
        <sz val="10"/>
        <color rgb="FFFF0000"/>
        <rFont val="Arial"/>
        <family val="2"/>
      </rPr>
      <t xml:space="preserve"> (see 1.1.4)</t>
    </r>
  </si>
  <si>
    <r>
      <t>AT1 capital, after adjustments</t>
    </r>
    <r>
      <rPr>
        <strike/>
        <sz val="10"/>
        <color rgb="FFFF0000"/>
        <rFont val="Arial"/>
        <family val="2"/>
      </rPr>
      <t xml:space="preserve"> (see 1.1.3.20)</t>
    </r>
  </si>
  <si>
    <r>
      <t>AT1 capital, amount available before adjustments</t>
    </r>
    <r>
      <rPr>
        <strike/>
        <sz val="10"/>
        <color rgb="FFFF0000"/>
        <rFont val="Arial"/>
        <family val="2"/>
      </rPr>
      <t xml:space="preserve"> (1.1.2.10)</t>
    </r>
  </si>
  <si>
    <r>
      <t xml:space="preserve">CET1 capital, after all adjustments </t>
    </r>
    <r>
      <rPr>
        <strike/>
        <sz val="10"/>
        <color rgb="FFFF0000"/>
        <rFont val="Arial"/>
        <family val="2"/>
      </rPr>
      <t>(see 1.1.1.35)</t>
    </r>
  </si>
  <si>
    <r>
      <t>CET1 capital, amount to take into account for threshold 3</t>
    </r>
    <r>
      <rPr>
        <strike/>
        <sz val="10"/>
        <color rgb="FFFF0000"/>
        <rFont val="Arial"/>
        <family val="2"/>
      </rPr>
      <t xml:space="preserve"> (see 1.1.1.29)</t>
    </r>
  </si>
  <si>
    <r>
      <t xml:space="preserve">CET1 capital, amount to take into account for threshold 2 </t>
    </r>
    <r>
      <rPr>
        <strike/>
        <sz val="10"/>
        <color rgb="FFFF0000"/>
        <rFont val="Arial"/>
        <family val="2"/>
      </rPr>
      <t>(see 1.1.1.22)</t>
    </r>
  </si>
  <si>
    <r>
      <t xml:space="preserve">CET1 capital, amount to take into account for threshold 1 </t>
    </r>
    <r>
      <rPr>
        <strike/>
        <sz val="10"/>
        <color rgb="FFFF0000"/>
        <rFont val="Arial"/>
        <family val="2"/>
      </rPr>
      <t>(see 1.1.1.17)</t>
    </r>
  </si>
  <si>
    <t>Self-used Residential Real Estate (incl. Up to one rented unit; finished and unfinished properties)</t>
  </si>
  <si>
    <t>Other Residential Real Estate (income producing) (finished and unfinished)</t>
  </si>
  <si>
    <t>Self-used Commercial Real Estate (finished and unfinished properties)</t>
  </si>
  <si>
    <t>Other Commercial Real Estate (income producing) (finished and unfinished)</t>
  </si>
  <si>
    <t>= CRSABIS_08 [36/24]</t>
  </si>
  <si>
    <t>= CRSABIS_08 [38/24]</t>
  </si>
  <si>
    <t>THIS IS INPUT CELL</t>
  </si>
  <si>
    <t xml:space="preserve">   Usage of external ratings</t>
  </si>
  <si>
    <t xml:space="preserve">   Usage of consensus country risk scores </t>
  </si>
  <si>
    <t xml:space="preserve">   0% CCF for corporate and SME commitments</t>
  </si>
  <si>
    <t xml:space="preserve">   No increased risk-weight in case of FX-mismatch</t>
  </si>
  <si>
    <t xml:space="preserve">   Simplified risk-weights for unrated banks</t>
  </si>
  <si>
    <t xml:space="preserve">   Alternative 90% risk-weight for SMEs</t>
  </si>
  <si>
    <t>Exemption for structural FX-hedges</t>
  </si>
  <si>
    <t>Market maker exemption</t>
  </si>
  <si>
    <t>Commodity Risk: Use of correlations</t>
  </si>
  <si>
    <t>Look-through approach (LTA)</t>
  </si>
  <si>
    <t>Mandate-based approach (MBA)</t>
  </si>
  <si>
    <t>Fallback approach (FA)</t>
  </si>
  <si>
    <t>Simplified approach (VA)</t>
  </si>
  <si>
    <t xml:space="preserve">   Book-value of equity investments in funds</t>
  </si>
  <si>
    <t xml:space="preserve">   Total RWA excluding RWA for such equity investments in funds</t>
  </si>
  <si>
    <t>Standardised approach for securtisations (SEC-SA)</t>
  </si>
  <si>
    <t>Internal ratings-based approach for securitisations (SEC-IRBA)</t>
  </si>
  <si>
    <t>Internal assessment approach for securitisations (SEC-IAA)</t>
  </si>
  <si>
    <t>External ratings-based approach for securitisations (SEC-ERBA)</t>
  </si>
  <si>
    <t>Simplified standardised approach for CCR (SSA-CCR)</t>
  </si>
  <si>
    <t>Standardised approach for CCR (SA-CCR)</t>
  </si>
  <si>
    <t>Expected positive exposure (EPE) model-method</t>
  </si>
  <si>
    <t>Value-at-risk (VaR) approach</t>
  </si>
  <si>
    <t>Foundation IRB (F-IRB)</t>
  </si>
  <si>
    <t>Advanced IRB (A-IRB) (outside retail)</t>
  </si>
  <si>
    <t>Internal Risk Transfer (IRT) Desk</t>
  </si>
  <si>
    <t>Are losses used to calculate the internal loss multiplier (ILM)?</t>
  </si>
  <si>
    <t>Standardised approach (SA-BIS)</t>
  </si>
  <si>
    <t xml:space="preserve">      Total exposure according to CAO art. 63</t>
  </si>
  <si>
    <t>Qualified interest rate instruments according to art. 4 let. g Capital Ordinance</t>
  </si>
  <si>
    <t>Date of approval
(or automatic
check)</t>
  </si>
  <si>
    <t>Exposure or notional amount</t>
  </si>
  <si>
    <r>
      <t>14    Basel IIII Leverage Ratio</t>
    </r>
    <r>
      <rPr>
        <sz val="10"/>
        <color rgb="FFFF0000"/>
        <rFont val="Arial"/>
        <family val="2"/>
      </rPr>
      <t xml:space="preserve"> (including the impact of any applicable temporary exemption of central bank reserves)</t>
    </r>
  </si>
  <si>
    <r>
      <t xml:space="preserve">14a   Fully loaded ECL accounting model Basel III leverage ratio </t>
    </r>
    <r>
      <rPr>
        <sz val="10"/>
        <color rgb="FFFF0000"/>
        <rFont val="Arial"/>
        <family val="2"/>
      </rPr>
      <t>(including the impact of any applicable temporary exemption of central bank reserves) (%)</t>
    </r>
  </si>
  <si>
    <t>1.1.1.1.2</t>
  </si>
  <si>
    <t>1.1.1.1.2.1</t>
  </si>
  <si>
    <t>1.1.1.1.2.2</t>
  </si>
  <si>
    <t>1.1.1.1.2.3</t>
  </si>
  <si>
    <t>1.1.1.1.2.4</t>
  </si>
  <si>
    <t>1.1.1.1.2.5</t>
  </si>
  <si>
    <t>1.1.1.3.1</t>
  </si>
  <si>
    <t>1.7</t>
  </si>
  <si>
    <r>
      <t>Capital requirement for non-mo</t>
    </r>
    <r>
      <rPr>
        <sz val="10"/>
        <rFont val="Arial"/>
        <family val="2"/>
      </rPr>
      <t>dellable risk factors; Stressed Expected Shortfall (</t>
    </r>
    <r>
      <rPr>
        <sz val="10"/>
        <color theme="1"/>
        <rFont val="Arial"/>
        <family val="2"/>
      </rPr>
      <t>SES</t>
    </r>
    <r>
      <rPr>
        <sz val="10"/>
        <rFont val="Arial"/>
        <family val="2"/>
      </rPr>
      <t>)</t>
    </r>
  </si>
  <si>
    <r>
      <rPr>
        <sz val="10"/>
        <rFont val="Arial"/>
        <family val="2"/>
      </rPr>
      <t>Default risk capital (DRC) requi</t>
    </r>
    <r>
      <rPr>
        <sz val="10"/>
        <color theme="1"/>
        <rFont val="Arial"/>
        <family val="2"/>
      </rPr>
      <t>rement (MAR33.22)</t>
    </r>
  </si>
  <si>
    <r>
      <t xml:space="preserve">Default risk </t>
    </r>
    <r>
      <rPr>
        <sz val="10"/>
        <rFont val="Arial"/>
        <family val="2"/>
      </rPr>
      <t xml:space="preserve">capital requirement model measure </t>
    </r>
  </si>
  <si>
    <t>Exotic underlying</t>
  </si>
  <si>
    <t>Non-exotic underlying</t>
  </si>
  <si>
    <t>Pre-payment</t>
  </si>
  <si>
    <t>Capital requirement under the Sensitivities-based method (SbM)</t>
  </si>
  <si>
    <t>Scaling / Requirement 
factor</t>
  </si>
  <si>
    <r>
      <t>Aggreg</t>
    </r>
    <r>
      <rPr>
        <sz val="10"/>
        <color theme="1"/>
        <rFont val="Arial"/>
        <family val="2"/>
      </rPr>
      <t>ate gross</t>
    </r>
    <r>
      <rPr>
        <sz val="10"/>
        <rFont val="Arial"/>
        <family val="2"/>
      </rPr>
      <t xml:space="preserve"> notional amount of non-centrally cleared derivatives</t>
    </r>
  </si>
  <si>
    <t>K Reduced (*12.5*DS_BA-CVA)</t>
  </si>
  <si>
    <t>K Hedged (*12.5*DS_BA-CVA)</t>
  </si>
  <si>
    <t>Overview of External Ratings and Country Risk Scores</t>
  </si>
  <si>
    <t>Bank category according to art. 2 par. 2 &amp; 3 and appendix 3 BankV (values: 1, 2, 3, 4, 5)</t>
  </si>
  <si>
    <t xml:space="preserve">   (–) TLAC Holdings to be deducted from Tier 2 capital (art. 33 par. 1bis Capital Ordinance)</t>
  </si>
  <si>
    <t>T1 requirement (total CET1, plus total AT1 requirement according to art. 42 par. 1, art. 43 and appendix 8 Capital Ordinance 
(incl. potential adjustment according to item 3.2.6.2)</t>
  </si>
  <si>
    <t xml:space="preserve">   Indication of the total AT1 requirement according to art. 42 par. 1 and art. 43 and appendix 8 Capital Ordinance</t>
  </si>
  <si>
    <t>Total capital requirement (T1 + T2), taking into account the T2 requirement according to art. 42 par. 1 and art. 43 and appendix 8 Capital 
Ordinance (incl. potential adjustment according to item 3.2.7.2)</t>
  </si>
  <si>
    <t xml:space="preserve">   Indication of the total T2 requirement according to art. 42 par. 1 and art. 43 and appendix 8 Capital Ordinance, in percentage</t>
  </si>
  <si>
    <t xml:space="preserve">      Assets of partners with unlimited liability, which are eligible as CET1
      (art. 21 par. 1 let. a Capital Ordinance, art. 25 Capital Ordinance, art. 29 par. 2 let. a FinIO)</t>
  </si>
  <si>
    <t xml:space="preserve">      Bank guarantee or cash amount blocked for securities dealers
      (art. 27 par. 5 FinIO)</t>
  </si>
  <si>
    <t xml:space="preserve">   (+) Other components of AT1 capital for private banks
   (TBEO-FINMA art. 36 par. 4)</t>
  </si>
  <si>
    <t>(+) Other components of T2 capital for private banks: other subordinated assets of partners with unlimited liability, which are not eligible
as CET1
(TBEO-FINMA art. 36 par. 4)</t>
  </si>
  <si>
    <t>Minimum initial capital required pursuant to art. 4 Banking Ordinance and art. 69 par. 1 Financial Institutions Ordinance (FinIO) 22 Stock Exchanges and Security Trading Ordinance</t>
  </si>
  <si>
    <t>Total minimum capital requirement (NB: without taking into account the minimum capital requirement of 10 Mio CHF (Art. 15 Banking Ordinance) for banks, or 1.5 Mio CHF (Art. 69 par. 1 FinIO) for securities dealers)</t>
  </si>
  <si>
    <t>14e      Minimum capital requirement (Art. 42 CAO) 
        Maximum of RWA-based and LRD-based capital requirement, subject to minimum capital requirement of 10 Mio CHF (Art. 15 Banking Ordinance) for banks, or 1.5 Mio CHF (Art. 69 par. 1 FinIO) for securities dealers)</t>
  </si>
  <si>
    <t xml:space="preserve">Note: This sheet contains the disclosure tables OR2 and OR3 that are mandatory for all banks. </t>
  </si>
  <si>
    <r>
      <rPr>
        <b/>
        <sz val="14"/>
        <color rgb="FF00B0F0"/>
        <rFont val="Arial"/>
        <family val="2"/>
      </rPr>
      <t xml:space="preserve">Disclosure: </t>
    </r>
    <r>
      <rPr>
        <b/>
        <sz val="14"/>
        <rFont val="Arial"/>
        <family val="2"/>
      </rPr>
      <t xml:space="preserve">Key metrics for disclosure </t>
    </r>
    <r>
      <rPr>
        <b/>
        <sz val="14"/>
        <color rgb="FF00B0F0"/>
        <rFont val="Arial"/>
        <family val="2"/>
      </rPr>
      <t>(excluding liquidity)</t>
    </r>
  </si>
  <si>
    <t>A-CVA RWA</t>
  </si>
  <si>
    <r>
      <t xml:space="preserve">4. Advanced approach for CVA (A-CVA) 
</t>
    </r>
    <r>
      <rPr>
        <i/>
        <sz val="10"/>
        <color rgb="FF000000"/>
        <rFont val="Arial"/>
        <family val="2"/>
      </rPr>
      <t xml:space="preserve">[Note: this approach is referred to in the Basel standards </t>
    </r>
    <r>
      <rPr>
        <sz val="10"/>
        <color rgb="FF000000"/>
        <rFont val="Arial"/>
        <family val="2"/>
      </rPr>
      <t xml:space="preserve">MAR50 as </t>
    </r>
    <r>
      <rPr>
        <i/>
        <sz val="10"/>
        <color rgb="FF000000"/>
        <rFont val="Arial"/>
        <family val="2"/>
      </rPr>
      <t>"standardised approach (SA-CVA)"</t>
    </r>
    <r>
      <rPr>
        <sz val="10"/>
        <color rgb="FF000000"/>
        <rFont val="Arial"/>
        <family val="2"/>
      </rPr>
      <t xml:space="preserve">] </t>
    </r>
  </si>
  <si>
    <t>P_CASABISIRB_RWALRD</t>
  </si>
  <si>
    <t>P_CRSABIS_(01-09)</t>
  </si>
  <si>
    <t>[ASSET CLASS 01-09 - excl. Real Estate]</t>
  </si>
  <si>
    <t>P_CRSABIS_10</t>
  </si>
  <si>
    <t>P_CRSABIS_11</t>
  </si>
  <si>
    <t>P_CRSABIS_12</t>
  </si>
  <si>
    <t>P_CRSABIS_13</t>
  </si>
  <si>
    <t>Release 1.0</t>
  </si>
  <si>
    <t>Draft version in consultation July 2022</t>
  </si>
  <si>
    <t>NOTE: Formulae that refer to other forms are pending to be updated, to be done once the forms are clean and columns/rows are numbered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</si>
</sst>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164" formatCode="0&quot; ERRORS&quot;"/>
    <numFmt numFmtId="165" formatCode="0&quot; ERROR&quot;"/>
    <numFmt numFmtId="166" formatCode="d/m/yyyy"/>
    <numFmt numFmtId="167" formatCode="General_)"/>
    <numFmt numFmtId="168" formatCode="#,##0_)"/>
    <numFmt numFmtId="169" formatCode="000"/>
    <numFmt numFmtId="170" formatCode="#,##0_);[Red]\-#,##0_);;@"/>
    <numFmt numFmtId="171" formatCode="0_)"/>
    <numFmt numFmtId="172" formatCode="0&quot; Warnung&quot;"/>
    <numFmt numFmtId="173" formatCode="000000"/>
    <numFmt numFmtId="174" formatCode="0.0000%;[Red]\-0.0000%"/>
    <numFmt numFmtId="175" formatCode="0&quot; WARNUNG&quot;"/>
    <numFmt numFmtId="176" formatCode="0.000_)"/>
    <numFmt numFmtId="177" formatCode="0.0000_)"/>
    <numFmt numFmtId="178" formatCode="0.000%"/>
    <numFmt numFmtId="179" formatCode="0.0%"/>
    <numFmt numFmtId="180" formatCode="0.0000%"/>
    <numFmt numFmtId="181" formatCode="#,##0_);[Red]\-#,##0_)"/>
    <numFmt numFmtId="182" formatCode="#,##0.00_)"/>
    <numFmt numFmtId="183" formatCode="0&quot; Warnings&quot;"/>
    <numFmt numFmtId="184" formatCode="0.0_)"/>
    <numFmt numFmtId="185" formatCode="d/mm/yyyy"/>
    <numFmt numFmtId="186" formatCode="0&quot; WARNINGS&quot;"/>
    <numFmt numFmtId="187" formatCode="00"/>
    <numFmt numFmtId="188" formatCode="#,##0.0_);[Red]\-#,##0.0_);;@"/>
    <numFmt numFmtId="189" formatCode="dd/mm/yyyy;@"/>
  </numFmts>
  <fonts count="71" x14ac:knownFonts="1">
    <font>
      <sz val="10"/>
      <color theme="1"/>
      <name val="Arial"/>
      <family val="2"/>
    </font>
    <font>
      <sz val="10"/>
      <color theme="1"/>
      <name val="Arial"/>
      <family val="2"/>
    </font>
    <font>
      <sz val="10"/>
      <name val="Arial"/>
      <family val="2"/>
    </font>
    <font>
      <b/>
      <sz val="10"/>
      <color rgb="FFFF0000"/>
      <name val="Arial"/>
      <family val="2"/>
    </font>
    <font>
      <b/>
      <sz val="10"/>
      <name val="Arial"/>
      <family val="2"/>
    </font>
    <font>
      <b/>
      <sz val="10"/>
      <color indexed="10"/>
      <name val="Arial"/>
      <family val="2"/>
    </font>
    <font>
      <sz val="10"/>
      <color indexed="10"/>
      <name val="Arial"/>
      <family val="2"/>
    </font>
    <font>
      <sz val="8"/>
      <name val="Arial"/>
      <family val="2"/>
    </font>
    <font>
      <b/>
      <sz val="10"/>
      <name val="Helv"/>
    </font>
    <font>
      <b/>
      <sz val="14"/>
      <name val="Arial"/>
      <family val="2"/>
    </font>
    <font>
      <b/>
      <sz val="11"/>
      <name val="Arial"/>
      <family val="2"/>
    </font>
    <font>
      <b/>
      <sz val="12"/>
      <name val="Arial"/>
      <family val="2"/>
    </font>
    <font>
      <sz val="14"/>
      <name val="Arial"/>
      <family val="2"/>
    </font>
    <font>
      <sz val="10"/>
      <color rgb="FFFF0000"/>
      <name val="Arial"/>
      <family val="2"/>
    </font>
    <font>
      <b/>
      <sz val="10"/>
      <color theme="1"/>
      <name val="Arial"/>
      <family val="2"/>
    </font>
    <font>
      <sz val="11"/>
      <color theme="1"/>
      <name val="Arial"/>
      <family val="2"/>
    </font>
    <font>
      <b/>
      <sz val="11"/>
      <color theme="1"/>
      <name val="Arial"/>
      <family val="2"/>
    </font>
    <font>
      <b/>
      <sz val="9"/>
      <color rgb="FFFF0000"/>
      <name val="Arial"/>
      <family val="2"/>
    </font>
    <font>
      <b/>
      <sz val="14"/>
      <color theme="1"/>
      <name val="Arial"/>
      <family val="2"/>
    </font>
    <font>
      <b/>
      <sz val="12"/>
      <color theme="1"/>
      <name val="Arial"/>
      <family val="2"/>
    </font>
    <font>
      <b/>
      <sz val="11"/>
      <color rgb="FFFF0000"/>
      <name val="Arial"/>
      <family val="2"/>
    </font>
    <font>
      <sz val="11"/>
      <color rgb="FF0070C0"/>
      <name val="Verdana"/>
      <family val="2"/>
    </font>
    <font>
      <b/>
      <sz val="10"/>
      <color indexed="8"/>
      <name val="Arial"/>
      <family val="2"/>
    </font>
    <font>
      <i/>
      <u/>
      <sz val="10"/>
      <color indexed="8"/>
      <name val="Arial"/>
      <family val="2"/>
    </font>
    <font>
      <sz val="10"/>
      <color indexed="8"/>
      <name val="Arial"/>
      <family val="2"/>
    </font>
    <font>
      <u/>
      <sz val="10"/>
      <color theme="10"/>
      <name val="Arial"/>
      <family val="2"/>
    </font>
    <font>
      <sz val="8"/>
      <color rgb="FF000000"/>
      <name val="Arial"/>
      <family val="2"/>
    </font>
    <font>
      <sz val="8"/>
      <color theme="1"/>
      <name val="Arial"/>
      <family val="2"/>
    </font>
    <font>
      <u/>
      <sz val="8"/>
      <color theme="10"/>
      <name val="Arial"/>
      <family val="2"/>
    </font>
    <font>
      <sz val="10"/>
      <color rgb="FF000000"/>
      <name val="Arial"/>
      <family val="2"/>
    </font>
    <font>
      <strike/>
      <sz val="10"/>
      <color rgb="FFFF0000"/>
      <name val="Arial"/>
      <family val="2"/>
    </font>
    <font>
      <sz val="11"/>
      <name val="Arial"/>
      <family val="2"/>
    </font>
    <font>
      <sz val="8"/>
      <color theme="1"/>
      <name val="Calibri"/>
      <family val="2"/>
      <scheme val="minor"/>
    </font>
    <font>
      <b/>
      <sz val="9"/>
      <color indexed="81"/>
      <name val="Tahoma"/>
      <family val="2"/>
    </font>
    <font>
      <sz val="9"/>
      <color indexed="81"/>
      <name val="Tahoma"/>
      <family val="2"/>
    </font>
    <font>
      <b/>
      <sz val="16"/>
      <name val="Arial"/>
      <family val="2"/>
    </font>
    <font>
      <sz val="11"/>
      <color theme="1"/>
      <name val="Segoe UI"/>
      <family val="2"/>
    </font>
    <font>
      <vertAlign val="superscript"/>
      <sz val="10"/>
      <name val="Arial"/>
      <family val="2"/>
    </font>
    <font>
      <sz val="11"/>
      <color theme="1"/>
      <name val="Calibri"/>
      <family val="2"/>
      <scheme val="minor"/>
    </font>
    <font>
      <b/>
      <sz val="10"/>
      <color rgb="FF0070C0"/>
      <name val="Arial"/>
      <family val="2"/>
    </font>
    <font>
      <b/>
      <strike/>
      <sz val="12"/>
      <name val="Arial"/>
      <family val="2"/>
    </font>
    <font>
      <b/>
      <strike/>
      <sz val="12"/>
      <color rgb="FFFF0000"/>
      <name val="Arial"/>
      <family val="2"/>
    </font>
    <font>
      <b/>
      <strike/>
      <sz val="11"/>
      <color rgb="FFFF0000"/>
      <name val="Arial"/>
      <family val="2"/>
    </font>
    <font>
      <vertAlign val="subscript"/>
      <sz val="10"/>
      <color theme="1"/>
      <name val="Arial"/>
      <family val="2"/>
    </font>
    <font>
      <b/>
      <sz val="11"/>
      <color theme="5"/>
      <name val="Arial"/>
      <family val="2"/>
    </font>
    <font>
      <sz val="9"/>
      <color theme="1"/>
      <name val="Arial"/>
      <family val="2"/>
    </font>
    <font>
      <b/>
      <sz val="14"/>
      <color rgb="FFFF0000"/>
      <name val="Arial"/>
      <family val="2"/>
    </font>
    <font>
      <i/>
      <sz val="10"/>
      <name val="Arial"/>
      <family val="2"/>
    </font>
    <font>
      <u/>
      <sz val="11"/>
      <color theme="10"/>
      <name val="Arial"/>
      <family val="2"/>
    </font>
    <font>
      <sz val="18"/>
      <color theme="3"/>
      <name val="Arial"/>
      <family val="2"/>
    </font>
    <font>
      <b/>
      <sz val="12"/>
      <color rgb="FFFF0000"/>
      <name val="Arial"/>
      <family val="2"/>
    </font>
    <font>
      <b/>
      <strike/>
      <sz val="14"/>
      <color rgb="FFFF0000"/>
      <name val="Arial"/>
      <family val="2"/>
    </font>
    <font>
      <b/>
      <strike/>
      <sz val="10"/>
      <color rgb="FFFF0000"/>
      <name val="Arial"/>
      <family val="2"/>
    </font>
    <font>
      <i/>
      <sz val="10"/>
      <color rgb="FFFF0000"/>
      <name val="Arial"/>
      <family val="2"/>
    </font>
    <font>
      <strike/>
      <sz val="10"/>
      <name val="Arial"/>
      <family val="2"/>
    </font>
    <font>
      <sz val="12"/>
      <color theme="1"/>
      <name val="Arial"/>
      <family val="2"/>
    </font>
    <font>
      <sz val="10"/>
      <color rgb="FF00B0F0"/>
      <name val="Arial"/>
      <family val="2"/>
    </font>
    <font>
      <sz val="11"/>
      <color rgb="FF000000"/>
      <name val="Arial"/>
      <family val="2"/>
    </font>
    <font>
      <sz val="9"/>
      <color rgb="FF000000"/>
      <name val="Arial"/>
      <family val="2"/>
    </font>
    <font>
      <strike/>
      <sz val="10"/>
      <color theme="1"/>
      <name val="Arial"/>
      <family val="2"/>
    </font>
    <font>
      <b/>
      <strike/>
      <sz val="11"/>
      <name val="Arial"/>
      <family val="2"/>
    </font>
    <font>
      <b/>
      <strike/>
      <sz val="11"/>
      <color theme="1"/>
      <name val="Arial"/>
      <family val="2"/>
    </font>
    <font>
      <b/>
      <strike/>
      <sz val="10"/>
      <name val="Arial"/>
      <family val="2"/>
    </font>
    <font>
      <b/>
      <i/>
      <sz val="10"/>
      <color rgb="FFFF0000"/>
      <name val="Arial"/>
      <family val="2"/>
    </font>
    <font>
      <b/>
      <sz val="9"/>
      <color indexed="10"/>
      <name val="Tahoma"/>
      <family val="2"/>
    </font>
    <font>
      <b/>
      <vertAlign val="subscript"/>
      <sz val="10"/>
      <color theme="1"/>
      <name val="Arial"/>
      <family val="2"/>
    </font>
    <font>
      <b/>
      <sz val="14"/>
      <color rgb="FF00B0F0"/>
      <name val="Arial"/>
      <family val="2"/>
    </font>
    <font>
      <b/>
      <sz val="11"/>
      <color rgb="FF00B0F0"/>
      <name val="Arial"/>
      <family val="2"/>
    </font>
    <font>
      <sz val="10"/>
      <color theme="8"/>
      <name val="Arial"/>
      <family val="2"/>
    </font>
    <font>
      <b/>
      <sz val="10"/>
      <color theme="8"/>
      <name val="Arial"/>
      <family val="2"/>
    </font>
    <font>
      <i/>
      <sz val="10"/>
      <color rgb="FF000000"/>
      <name val="Arial"/>
      <family val="2"/>
    </font>
  </fonts>
  <fills count="21">
    <fill>
      <patternFill patternType="none"/>
    </fill>
    <fill>
      <patternFill patternType="gray125"/>
    </fill>
    <fill>
      <patternFill patternType="solid">
        <fgColor theme="0" tint="-4.9989318521683403E-2"/>
        <bgColor indexed="64"/>
      </patternFill>
    </fill>
    <fill>
      <patternFill patternType="solid">
        <fgColor rgb="FFDCEFB4"/>
        <bgColor indexed="64"/>
      </patternFill>
    </fill>
    <fill>
      <patternFill patternType="solid">
        <fgColor rgb="FFF0EFD7"/>
        <bgColor indexed="64"/>
      </patternFill>
    </fill>
    <fill>
      <patternFill patternType="solid">
        <fgColor theme="9" tint="0.79998168889431442"/>
        <bgColor indexed="64"/>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
      <patternFill patternType="solid">
        <fgColor rgb="FF00B0F0"/>
        <bgColor indexed="64"/>
      </patternFill>
    </fill>
    <fill>
      <patternFill patternType="solid">
        <fgColor theme="0"/>
        <bgColor indexed="64"/>
      </patternFill>
    </fill>
    <fill>
      <patternFill patternType="solid">
        <fgColor rgb="FFFFC00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FF"/>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rgb="FFDCEFB4"/>
        <bgColor rgb="FF000000"/>
      </patternFill>
    </fill>
    <fill>
      <patternFill patternType="solid">
        <fgColor rgb="FFF2F2F2"/>
        <bgColor rgb="FF000000"/>
      </patternFill>
    </fill>
    <fill>
      <patternFill patternType="solid">
        <fgColor theme="2"/>
        <bgColor indexed="64"/>
      </patternFill>
    </fill>
  </fills>
  <borders count="54">
    <border>
      <left/>
      <right/>
      <top/>
      <bottom/>
      <diagonal/>
    </border>
    <border>
      <left style="hair">
        <color indexed="64"/>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top/>
      <bottom style="thin">
        <color theme="0"/>
      </bottom>
      <diagonal/>
    </border>
    <border>
      <left/>
      <right/>
      <top style="thin">
        <color theme="0"/>
      </top>
      <bottom/>
      <diagonal/>
    </border>
    <border>
      <left/>
      <right/>
      <top style="hair">
        <color indexed="64"/>
      </top>
      <bottom style="thin">
        <color indexed="64"/>
      </bottom>
      <diagonal/>
    </border>
    <border>
      <left style="thin">
        <color indexed="64"/>
      </left>
      <right/>
      <top/>
      <bottom style="double">
        <color indexed="64"/>
      </bottom>
      <diagonal/>
    </border>
    <border>
      <left style="thin">
        <color indexed="64"/>
      </left>
      <right/>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top/>
      <bottom/>
      <diagonal/>
    </border>
    <border>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style="double">
        <color indexed="64"/>
      </bottom>
      <diagonal/>
    </border>
    <border>
      <left style="thin">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double">
        <color indexed="64"/>
      </bottom>
      <diagonal/>
    </border>
    <border>
      <left/>
      <right/>
      <top/>
      <bottom style="double">
        <color auto="1"/>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s>
  <cellStyleXfs count="27">
    <xf numFmtId="0" fontId="0" fillId="0" borderId="0"/>
    <xf numFmtId="0" fontId="3" fillId="2" borderId="1">
      <alignment horizontal="center" vertical="center"/>
    </xf>
    <xf numFmtId="0" fontId="1" fillId="0" borderId="5" applyNumberFormat="0">
      <alignment horizontal="center" vertical="center"/>
    </xf>
    <xf numFmtId="167" fontId="8" fillId="0" borderId="0" applyFill="0" applyBorder="0">
      <alignment horizontal="left"/>
    </xf>
    <xf numFmtId="169" fontId="1" fillId="3" borderId="15">
      <alignment horizontal="center"/>
    </xf>
    <xf numFmtId="170" fontId="1" fillId="0" borderId="16"/>
    <xf numFmtId="170" fontId="1" fillId="0" borderId="17" applyFill="0">
      <protection locked="0"/>
    </xf>
    <xf numFmtId="0" fontId="1" fillId="4" borderId="15" applyNumberFormat="0">
      <alignment vertical="center"/>
    </xf>
    <xf numFmtId="170" fontId="1" fillId="0" borderId="15" applyNumberFormat="0" applyFont="0" applyAlignment="0">
      <alignment vertical="center"/>
    </xf>
    <xf numFmtId="0" fontId="48" fillId="0" borderId="0" applyNumberFormat="0" applyFill="0" applyBorder="0" applyAlignment="0" applyProtection="0">
      <alignment vertical="top"/>
      <protection locked="0"/>
    </xf>
    <xf numFmtId="0" fontId="18" fillId="0" borderId="0" applyNumberFormat="0" applyFill="0" applyBorder="0" applyAlignment="0" applyProtection="0"/>
    <xf numFmtId="167" fontId="4" fillId="0" borderId="0" applyFill="0" applyBorder="0">
      <alignment horizontal="left"/>
    </xf>
    <xf numFmtId="174" fontId="2" fillId="0" borderId="31">
      <alignment horizontal="right"/>
    </xf>
    <xf numFmtId="0" fontId="36" fillId="0" borderId="0"/>
    <xf numFmtId="9" fontId="38" fillId="0" borderId="0" applyFont="0" applyFill="0" applyBorder="0" applyAlignment="0" applyProtection="0"/>
    <xf numFmtId="1" fontId="1" fillId="0" borderId="17">
      <alignment horizontal="center"/>
      <protection locked="0"/>
    </xf>
    <xf numFmtId="180" fontId="2" fillId="0" borderId="32">
      <alignment horizontal="right"/>
      <protection locked="0"/>
    </xf>
    <xf numFmtId="170" fontId="1" fillId="12" borderId="17"/>
    <xf numFmtId="174" fontId="2" fillId="12" borderId="32">
      <alignment horizontal="right"/>
    </xf>
    <xf numFmtId="168" fontId="2" fillId="0" borderId="17">
      <alignment horizontal="center"/>
      <protection locked="0"/>
    </xf>
    <xf numFmtId="0" fontId="1" fillId="0" borderId="0"/>
    <xf numFmtId="0" fontId="36" fillId="0" borderId="0"/>
    <xf numFmtId="0" fontId="2" fillId="0" borderId="0"/>
    <xf numFmtId="0" fontId="49" fillId="0" borderId="0" applyNumberFormat="0" applyFill="0" applyBorder="0" applyAlignment="0" applyProtection="0"/>
    <xf numFmtId="167" fontId="8" fillId="0" borderId="0" applyFill="0" applyBorder="0">
      <alignment horizontal="left"/>
    </xf>
    <xf numFmtId="0" fontId="38" fillId="0" borderId="0"/>
    <xf numFmtId="9" fontId="1" fillId="0" borderId="0" applyFont="0" applyFill="0" applyBorder="0" applyAlignment="0" applyProtection="0"/>
  </cellStyleXfs>
  <cellXfs count="1771">
    <xf numFmtId="0" fontId="0" fillId="0" borderId="0" xfId="0"/>
    <xf numFmtId="0" fontId="2" fillId="0" borderId="0" xfId="0" applyFont="1"/>
    <xf numFmtId="0" fontId="3" fillId="2" borderId="1" xfId="1">
      <alignment horizontal="center" vertical="center"/>
    </xf>
    <xf numFmtId="0" fontId="2" fillId="0" borderId="2" xfId="0" applyFont="1" applyBorder="1"/>
    <xf numFmtId="0" fontId="4" fillId="0" borderId="3" xfId="0" applyFont="1" applyBorder="1"/>
    <xf numFmtId="0" fontId="2" fillId="0" borderId="4" xfId="0" applyFont="1" applyBorder="1"/>
    <xf numFmtId="0" fontId="1" fillId="0" borderId="6" xfId="2" applyBorder="1">
      <alignment horizontal="center" vertical="center"/>
    </xf>
    <xf numFmtId="164" fontId="5" fillId="0" borderId="0" xfId="0" applyNumberFormat="1" applyFont="1" applyFill="1" applyAlignment="1">
      <alignment horizontal="left"/>
    </xf>
    <xf numFmtId="0" fontId="2" fillId="0" borderId="0" xfId="0" applyFont="1" applyBorder="1" applyAlignment="1">
      <alignment horizontal="right"/>
    </xf>
    <xf numFmtId="0" fontId="2" fillId="0" borderId="0" xfId="0" applyFont="1" applyBorder="1"/>
    <xf numFmtId="164" fontId="5" fillId="0" borderId="0" xfId="0" quotePrefix="1" applyNumberFormat="1" applyFont="1" applyFill="1" applyAlignment="1">
      <alignment horizontal="left"/>
    </xf>
    <xf numFmtId="164" fontId="5" fillId="0" borderId="7" xfId="0" quotePrefix="1" applyNumberFormat="1" applyFont="1" applyFill="1" applyBorder="1" applyAlignment="1">
      <alignment horizontal="left"/>
    </xf>
    <xf numFmtId="0" fontId="2" fillId="0" borderId="8" xfId="0" applyFont="1" applyBorder="1"/>
    <xf numFmtId="0" fontId="2" fillId="0" borderId="9" xfId="0" applyFont="1" applyBorder="1"/>
    <xf numFmtId="0" fontId="2" fillId="0" borderId="10" xfId="0" applyFont="1" applyBorder="1" applyAlignment="1">
      <alignment horizontal="left"/>
    </xf>
    <xf numFmtId="0" fontId="2" fillId="0" borderId="11" xfId="0" applyFont="1" applyBorder="1"/>
    <xf numFmtId="2" fontId="2" fillId="0" borderId="10" xfId="0" applyNumberFormat="1" applyFont="1" applyBorder="1" applyAlignment="1">
      <alignment horizontal="left"/>
    </xf>
    <xf numFmtId="165" fontId="5" fillId="0" borderId="11" xfId="0" applyNumberFormat="1" applyFont="1" applyBorder="1" applyAlignment="1">
      <alignment horizontal="left"/>
    </xf>
    <xf numFmtId="166" fontId="2" fillId="0" borderId="10" xfId="0" applyNumberFormat="1" applyFont="1" applyBorder="1" applyAlignment="1">
      <alignment horizontal="left"/>
    </xf>
    <xf numFmtId="167" fontId="2" fillId="0" borderId="12" xfId="0" applyNumberFormat="1" applyFont="1" applyBorder="1" applyAlignment="1">
      <alignment horizontal="left"/>
    </xf>
    <xf numFmtId="0" fontId="2" fillId="0" borderId="13" xfId="0" applyFont="1" applyBorder="1" applyAlignment="1">
      <alignment horizontal="right"/>
    </xf>
    <xf numFmtId="0" fontId="2" fillId="0" borderId="14" xfId="0" applyFont="1" applyBorder="1"/>
    <xf numFmtId="168" fontId="2" fillId="0" borderId="0" xfId="0" applyNumberFormat="1" applyFont="1"/>
    <xf numFmtId="0" fontId="6" fillId="0" borderId="0" xfId="0" applyFont="1"/>
    <xf numFmtId="0" fontId="6" fillId="0" borderId="0" xfId="0" applyFont="1" applyBorder="1"/>
    <xf numFmtId="0" fontId="7" fillId="0" borderId="0" xfId="0" applyFont="1" applyAlignment="1">
      <alignment horizontal="right"/>
    </xf>
    <xf numFmtId="2" fontId="2" fillId="0" borderId="0" xfId="0" applyNumberFormat="1" applyFont="1"/>
    <xf numFmtId="0" fontId="5" fillId="0" borderId="0" xfId="0" applyFont="1" applyBorder="1"/>
    <xf numFmtId="0" fontId="0" fillId="0" borderId="8" xfId="0" applyBorder="1"/>
    <xf numFmtId="167" fontId="2" fillId="0" borderId="8" xfId="3" applyFont="1" applyBorder="1">
      <alignment horizontal="left"/>
    </xf>
    <xf numFmtId="167" fontId="2" fillId="0" borderId="8" xfId="3" quotePrefix="1" applyFont="1" applyBorder="1">
      <alignment horizontal="left"/>
    </xf>
    <xf numFmtId="169" fontId="1" fillId="3" borderId="15" xfId="4">
      <alignment horizontal="center"/>
    </xf>
    <xf numFmtId="170" fontId="1" fillId="0" borderId="16" xfId="5"/>
    <xf numFmtId="170" fontId="1" fillId="0" borderId="17" xfId="6">
      <protection locked="0"/>
    </xf>
    <xf numFmtId="171" fontId="1" fillId="4" borderId="15" xfId="7" applyNumberFormat="1">
      <alignment vertical="center"/>
    </xf>
    <xf numFmtId="171" fontId="1" fillId="4" borderId="0" xfId="7" applyNumberFormat="1" applyBorder="1">
      <alignment vertical="center"/>
    </xf>
    <xf numFmtId="170" fontId="1" fillId="0" borderId="16" xfId="5" applyBorder="1"/>
    <xf numFmtId="170" fontId="1" fillId="0" borderId="17" xfId="6" applyBorder="1">
      <protection locked="0"/>
    </xf>
    <xf numFmtId="9" fontId="2" fillId="0" borderId="18" xfId="3" applyNumberFormat="1" applyFont="1" applyBorder="1">
      <alignment horizontal="left"/>
    </xf>
    <xf numFmtId="167" fontId="2" fillId="0" borderId="0" xfId="3" quotePrefix="1" applyFont="1" applyBorder="1">
      <alignment horizontal="left"/>
    </xf>
    <xf numFmtId="9" fontId="2" fillId="0" borderId="18" xfId="3" applyNumberFormat="1" applyFont="1" applyBorder="1" applyAlignment="1">
      <alignment horizontal="left" wrapText="1"/>
    </xf>
    <xf numFmtId="167" fontId="4" fillId="0" borderId="0" xfId="3" applyFont="1" applyBorder="1">
      <alignment horizontal="left"/>
    </xf>
    <xf numFmtId="167" fontId="4" fillId="0" borderId="0" xfId="3" quotePrefix="1" applyFont="1" applyBorder="1">
      <alignment horizontal="left"/>
    </xf>
    <xf numFmtId="167" fontId="2" fillId="0" borderId="18" xfId="3" quotePrefix="1" applyFont="1" applyBorder="1">
      <alignment horizontal="left"/>
    </xf>
    <xf numFmtId="0" fontId="5" fillId="0" borderId="19" xfId="0" applyFont="1" applyBorder="1"/>
    <xf numFmtId="0" fontId="6" fillId="0" borderId="11" xfId="0" applyFont="1" applyBorder="1"/>
    <xf numFmtId="171" fontId="1" fillId="0" borderId="15" xfId="8" applyNumberFormat="1">
      <alignment vertical="center"/>
    </xf>
    <xf numFmtId="167" fontId="2" fillId="0" borderId="10" xfId="3" applyFont="1" applyBorder="1" applyAlignment="1">
      <alignment horizontal="left" wrapText="1"/>
    </xf>
    <xf numFmtId="167" fontId="2" fillId="0" borderId="18" xfId="3" applyFont="1" applyBorder="1">
      <alignment horizontal="left"/>
    </xf>
    <xf numFmtId="171" fontId="1" fillId="4" borderId="15" xfId="7" applyNumberFormat="1" applyBorder="1">
      <alignment vertical="center"/>
    </xf>
    <xf numFmtId="0" fontId="2" fillId="0" borderId="19" xfId="0" applyFont="1" applyBorder="1"/>
    <xf numFmtId="0" fontId="2" fillId="0" borderId="20" xfId="0" applyFont="1" applyBorder="1"/>
    <xf numFmtId="0" fontId="6" fillId="0" borderId="19" xfId="0" applyFont="1" applyBorder="1"/>
    <xf numFmtId="0" fontId="3" fillId="2" borderId="21" xfId="1" applyBorder="1">
      <alignment horizontal="center" vertical="center"/>
    </xf>
    <xf numFmtId="170" fontId="1" fillId="0" borderId="22" xfId="6" applyBorder="1">
      <protection locked="0"/>
    </xf>
    <xf numFmtId="170" fontId="1" fillId="0" borderId="23" xfId="5" applyBorder="1"/>
    <xf numFmtId="167" fontId="4" fillId="0" borderId="24" xfId="3" applyFont="1" applyBorder="1">
      <alignment horizontal="left"/>
    </xf>
    <xf numFmtId="167" fontId="2" fillId="0" borderId="13" xfId="3" quotePrefix="1" applyFont="1" applyBorder="1">
      <alignment horizontal="left"/>
    </xf>
    <xf numFmtId="0" fontId="0" fillId="0" borderId="5" xfId="0" applyBorder="1"/>
    <xf numFmtId="0" fontId="1" fillId="0" borderId="5" xfId="2" applyBorder="1">
      <alignment horizontal="center" vertical="center"/>
    </xf>
    <xf numFmtId="167" fontId="4" fillId="0" borderId="8" xfId="3" applyFont="1" applyBorder="1">
      <alignment horizontal="left"/>
    </xf>
    <xf numFmtId="0" fontId="2" fillId="0" borderId="0" xfId="0" applyFont="1" applyBorder="1" applyAlignment="1">
      <alignment horizontal="center"/>
    </xf>
    <xf numFmtId="0" fontId="0" fillId="0" borderId="15" xfId="0" applyBorder="1"/>
    <xf numFmtId="0" fontId="2" fillId="0" borderId="15" xfId="0" applyFont="1" applyBorder="1" applyAlignment="1">
      <alignment vertical="top" wrapText="1"/>
    </xf>
    <xf numFmtId="0" fontId="2" fillId="0" borderId="12" xfId="0" applyFont="1" applyBorder="1" applyAlignment="1">
      <alignment horizontal="left" vertical="top" wrapText="1"/>
    </xf>
    <xf numFmtId="0" fontId="2" fillId="0" borderId="12" xfId="0" applyFont="1" applyBorder="1" applyAlignment="1">
      <alignment horizontal="left" vertical="top"/>
    </xf>
    <xf numFmtId="0" fontId="2" fillId="0" borderId="10" xfId="0" applyFont="1" applyBorder="1" applyAlignment="1">
      <alignment vertical="top" wrapText="1"/>
    </xf>
    <xf numFmtId="9" fontId="2" fillId="0" borderId="25" xfId="0" applyNumberFormat="1" applyFont="1" applyBorder="1" applyAlignment="1">
      <alignment horizontal="left" vertical="top" wrapText="1"/>
    </xf>
    <xf numFmtId="9" fontId="2" fillId="0" borderId="25" xfId="0" applyNumberFormat="1" applyFont="1" applyBorder="1" applyAlignment="1">
      <alignment horizontal="left" vertical="top"/>
    </xf>
    <xf numFmtId="9" fontId="2" fillId="0" borderId="25" xfId="0" quotePrefix="1" applyNumberFormat="1" applyFont="1" applyBorder="1" applyAlignment="1">
      <alignment horizontal="left" vertical="top"/>
    </xf>
    <xf numFmtId="0" fontId="2" fillId="0" borderId="11" xfId="0" applyFont="1" applyBorder="1" applyAlignment="1">
      <alignment vertical="top" wrapText="1"/>
    </xf>
    <xf numFmtId="172" fontId="5" fillId="0" borderId="0" xfId="0" applyNumberFormat="1" applyFont="1" applyBorder="1" applyAlignment="1">
      <alignment horizontal="left"/>
    </xf>
    <xf numFmtId="0" fontId="2" fillId="0" borderId="7" xfId="0" applyFont="1" applyBorder="1" applyAlignment="1">
      <alignment vertical="top" wrapText="1"/>
    </xf>
    <xf numFmtId="0" fontId="2" fillId="0" borderId="9" xfId="0" applyFont="1" applyBorder="1" applyAlignment="1">
      <alignment vertical="top" wrapText="1"/>
    </xf>
    <xf numFmtId="0" fontId="2" fillId="0" borderId="8" xfId="0" applyFont="1" applyBorder="1" applyAlignment="1">
      <alignment vertical="top"/>
    </xf>
    <xf numFmtId="0" fontId="2" fillId="0" borderId="8" xfId="0" applyFont="1" applyBorder="1" applyAlignment="1">
      <alignment vertical="top" wrapText="1"/>
    </xf>
    <xf numFmtId="0" fontId="2" fillId="0" borderId="9" xfId="0" applyFont="1" applyBorder="1" applyAlignment="1">
      <alignment vertical="top"/>
    </xf>
    <xf numFmtId="0" fontId="2" fillId="0" borderId="15" xfId="0" applyFont="1" applyBorder="1" applyAlignment="1">
      <alignment horizontal="left" vertical="top" wrapText="1"/>
    </xf>
    <xf numFmtId="167" fontId="9" fillId="0" borderId="0" xfId="3" applyFont="1" applyBorder="1">
      <alignment horizontal="left"/>
    </xf>
    <xf numFmtId="167" fontId="9" fillId="0" borderId="0" xfId="3" quotePrefix="1" applyFont="1" applyBorder="1">
      <alignment horizontal="left"/>
    </xf>
    <xf numFmtId="0" fontId="2" fillId="0" borderId="12" xfId="0" applyFont="1" applyBorder="1" applyAlignment="1">
      <alignment vertical="top" wrapText="1"/>
    </xf>
    <xf numFmtId="0" fontId="2" fillId="0" borderId="14" xfId="0" applyFont="1" applyBorder="1" applyAlignment="1">
      <alignment vertical="top"/>
    </xf>
    <xf numFmtId="0" fontId="2" fillId="0" borderId="13" xfId="0" applyFont="1" applyBorder="1" applyAlignment="1">
      <alignment vertical="top"/>
    </xf>
    <xf numFmtId="0" fontId="2" fillId="0" borderId="10" xfId="0" applyFont="1" applyBorder="1" applyAlignment="1">
      <alignment vertical="top"/>
    </xf>
    <xf numFmtId="0" fontId="2" fillId="0" borderId="0" xfId="0" applyFont="1" applyBorder="1" applyAlignment="1">
      <alignment vertical="top"/>
    </xf>
    <xf numFmtId="0" fontId="2" fillId="0" borderId="11" xfId="0" applyFont="1" applyBorder="1" applyAlignment="1">
      <alignment vertical="top"/>
    </xf>
    <xf numFmtId="0" fontId="2" fillId="0" borderId="8" xfId="0" applyFont="1" applyBorder="1" applyAlignment="1">
      <alignment horizontal="left" vertical="top" wrapText="1"/>
    </xf>
    <xf numFmtId="0" fontId="2" fillId="0" borderId="0" xfId="0" applyFont="1" applyBorder="1" applyAlignment="1">
      <alignment vertical="top" wrapText="1"/>
    </xf>
    <xf numFmtId="0" fontId="0" fillId="0" borderId="25" xfId="0" applyBorder="1"/>
    <xf numFmtId="0" fontId="2" fillId="0" borderId="25" xfId="0" applyFont="1" applyBorder="1" applyAlignment="1">
      <alignment vertical="top"/>
    </xf>
    <xf numFmtId="0" fontId="2" fillId="0" borderId="25" xfId="0" applyFont="1" applyBorder="1" applyAlignment="1">
      <alignment vertical="top" wrapText="1"/>
    </xf>
    <xf numFmtId="0" fontId="2" fillId="0" borderId="13" xfId="0" applyFont="1" applyBorder="1" applyAlignment="1">
      <alignment vertical="top" wrapText="1"/>
    </xf>
    <xf numFmtId="0" fontId="2" fillId="0" borderId="12" xfId="0" applyFont="1" applyBorder="1" applyAlignment="1">
      <alignment vertical="top"/>
    </xf>
    <xf numFmtId="0" fontId="2" fillId="0" borderId="14" xfId="0" applyFont="1" applyBorder="1" applyAlignment="1">
      <alignment vertical="top" wrapText="1"/>
    </xf>
    <xf numFmtId="0" fontId="2" fillId="0" borderId="25" xfId="0" applyFont="1" applyBorder="1" applyAlignment="1">
      <alignment horizontal="left" vertical="top" wrapText="1"/>
    </xf>
    <xf numFmtId="167" fontId="9" fillId="0" borderId="13" xfId="3" applyFont="1" applyBorder="1">
      <alignment horizontal="left"/>
    </xf>
    <xf numFmtId="167" fontId="9" fillId="0" borderId="13" xfId="3" quotePrefix="1" applyFont="1" applyBorder="1">
      <alignment horizontal="left"/>
    </xf>
    <xf numFmtId="167" fontId="10" fillId="0" borderId="0" xfId="3" applyFont="1" applyBorder="1">
      <alignment horizontal="left"/>
    </xf>
    <xf numFmtId="167" fontId="4" fillId="0" borderId="13" xfId="3" applyFont="1" applyBorder="1">
      <alignment horizontal="left"/>
    </xf>
    <xf numFmtId="0" fontId="0" fillId="0" borderId="0" xfId="0" applyBorder="1"/>
    <xf numFmtId="14" fontId="11" fillId="0" borderId="6" xfId="0" quotePrefix="1" applyNumberFormat="1" applyFont="1" applyBorder="1" applyAlignment="1" applyProtection="1">
      <alignment horizontal="center" vertical="center"/>
    </xf>
    <xf numFmtId="0" fontId="2" fillId="0" borderId="0" xfId="0" applyFont="1" applyAlignment="1">
      <alignment horizontal="right" vertical="center"/>
    </xf>
    <xf numFmtId="167" fontId="11" fillId="0" borderId="0" xfId="3" applyFont="1" applyBorder="1">
      <alignment horizontal="left"/>
    </xf>
    <xf numFmtId="0" fontId="11" fillId="0" borderId="6" xfId="0" applyFont="1" applyBorder="1" applyAlignment="1" applyProtection="1">
      <alignment horizontal="center" vertical="center"/>
    </xf>
    <xf numFmtId="0" fontId="12" fillId="0" borderId="0" xfId="0" applyFont="1" applyBorder="1"/>
    <xf numFmtId="0" fontId="11" fillId="0" borderId="6" xfId="0" applyFont="1" applyBorder="1" applyAlignment="1">
      <alignment horizontal="center" vertical="center"/>
    </xf>
    <xf numFmtId="0" fontId="15" fillId="0" borderId="0" xfId="0" applyFont="1"/>
    <xf numFmtId="0" fontId="0" fillId="0" borderId="0" xfId="0" applyFont="1"/>
    <xf numFmtId="0" fontId="0" fillId="0" borderId="0" xfId="0" applyFont="1" applyAlignment="1">
      <alignment horizontal="right" vertical="center"/>
    </xf>
    <xf numFmtId="0" fontId="16" fillId="0" borderId="0" xfId="0" applyFont="1" applyAlignment="1">
      <alignment horizontal="center" vertical="center"/>
    </xf>
    <xf numFmtId="173" fontId="16" fillId="5" borderId="26" xfId="0" applyNumberFormat="1" applyFont="1" applyFill="1" applyBorder="1" applyAlignment="1" applyProtection="1">
      <alignment horizontal="center" vertical="center"/>
      <protection locked="0"/>
    </xf>
    <xf numFmtId="0" fontId="17" fillId="0" borderId="0" xfId="0" applyFont="1" applyAlignment="1">
      <alignment vertical="center"/>
    </xf>
    <xf numFmtId="0" fontId="48" fillId="0" borderId="0" xfId="9" applyAlignment="1" applyProtection="1">
      <alignment vertical="center"/>
    </xf>
    <xf numFmtId="14" fontId="16" fillId="5" borderId="27" xfId="0" applyNumberFormat="1" applyFont="1" applyFill="1" applyBorder="1" applyAlignment="1" applyProtection="1">
      <alignment horizontal="center" vertical="center"/>
      <protection locked="0"/>
    </xf>
    <xf numFmtId="0" fontId="16" fillId="5" borderId="26" xfId="0" applyFont="1" applyFill="1" applyBorder="1" applyAlignment="1" applyProtection="1">
      <alignment horizontal="center" vertical="center"/>
      <protection locked="0"/>
    </xf>
    <xf numFmtId="0" fontId="18" fillId="0" borderId="0" xfId="10"/>
    <xf numFmtId="0" fontId="20" fillId="0" borderId="0" xfId="0" applyFont="1"/>
    <xf numFmtId="0" fontId="13" fillId="0" borderId="0" xfId="0" applyFont="1"/>
    <xf numFmtId="0" fontId="16" fillId="0" borderId="0" xfId="0" applyFont="1" applyFill="1" applyAlignment="1">
      <alignment vertical="center" textRotation="90"/>
    </xf>
    <xf numFmtId="0" fontId="15" fillId="0" borderId="0" xfId="0" applyFont="1" applyFill="1"/>
    <xf numFmtId="0" fontId="0" fillId="0" borderId="0" xfId="0" applyFont="1" applyFill="1" applyAlignment="1">
      <alignment vertical="center"/>
    </xf>
    <xf numFmtId="0" fontId="15" fillId="0" borderId="0" xfId="0" applyFont="1" applyFill="1" applyAlignment="1">
      <alignment vertical="center"/>
    </xf>
    <xf numFmtId="0" fontId="0" fillId="0" borderId="0" xfId="0" applyFont="1" applyFill="1"/>
    <xf numFmtId="0" fontId="0" fillId="0" borderId="0" xfId="0" applyFont="1" applyFill="1" applyBorder="1" applyProtection="1"/>
    <xf numFmtId="0" fontId="14" fillId="2" borderId="28" xfId="0" applyFont="1" applyFill="1" applyBorder="1" applyAlignment="1">
      <alignment vertical="center"/>
    </xf>
    <xf numFmtId="0" fontId="15" fillId="2" borderId="28" xfId="0" applyFont="1" applyFill="1" applyBorder="1" applyAlignment="1">
      <alignment vertical="center"/>
    </xf>
    <xf numFmtId="0" fontId="4" fillId="2" borderId="28" xfId="0" applyFont="1" applyFill="1" applyBorder="1" applyAlignment="1">
      <alignment horizontal="center" vertical="center"/>
    </xf>
    <xf numFmtId="0" fontId="4" fillId="2" borderId="28" xfId="0" applyFont="1" applyFill="1" applyBorder="1" applyAlignment="1">
      <alignment vertical="center"/>
    </xf>
    <xf numFmtId="0" fontId="15" fillId="2" borderId="0" xfId="0" applyFont="1" applyFill="1"/>
    <xf numFmtId="0" fontId="0" fillId="2" borderId="0" xfId="0" applyFont="1" applyFill="1"/>
    <xf numFmtId="0" fontId="0" fillId="2" borderId="0" xfId="0" applyFont="1" applyFill="1" applyAlignment="1">
      <alignment horizontal="center"/>
    </xf>
    <xf numFmtId="0" fontId="15" fillId="2" borderId="0" xfId="0" applyFont="1" applyFill="1" applyAlignment="1">
      <alignment horizontal="center"/>
    </xf>
    <xf numFmtId="0" fontId="21" fillId="0" borderId="0" xfId="0" applyFont="1"/>
    <xf numFmtId="0" fontId="15" fillId="0" borderId="0" xfId="0" applyFont="1" applyAlignment="1">
      <alignment vertical="center"/>
    </xf>
    <xf numFmtId="0" fontId="3" fillId="2" borderId="29" xfId="0" applyFont="1" applyFill="1" applyBorder="1" applyAlignment="1">
      <alignment vertical="center"/>
    </xf>
    <xf numFmtId="0" fontId="0" fillId="2" borderId="29" xfId="0" applyFont="1" applyFill="1" applyBorder="1" applyAlignment="1">
      <alignment vertical="center"/>
    </xf>
    <xf numFmtId="0" fontId="14" fillId="2" borderId="29" xfId="0" applyFont="1" applyFill="1" applyBorder="1" applyAlignment="1">
      <alignment horizontal="center" vertical="center"/>
    </xf>
    <xf numFmtId="0" fontId="3" fillId="2" borderId="29" xfId="0" applyFont="1" applyFill="1" applyBorder="1" applyAlignment="1">
      <alignment horizontal="right" vertical="center"/>
    </xf>
    <xf numFmtId="14" fontId="3" fillId="0" borderId="0" xfId="0" applyNumberFormat="1" applyFont="1"/>
    <xf numFmtId="0" fontId="48" fillId="0" borderId="0" xfId="9" applyAlignment="1" applyProtection="1"/>
    <xf numFmtId="0" fontId="25" fillId="0" borderId="8" xfId="9" applyFont="1" applyBorder="1" applyAlignment="1" applyProtection="1">
      <alignment horizontal="left" readingOrder="1"/>
    </xf>
    <xf numFmtId="0" fontId="0" fillId="0" borderId="8" xfId="0" applyFont="1" applyBorder="1"/>
    <xf numFmtId="0" fontId="26" fillId="0" borderId="0" xfId="0" applyFont="1" applyAlignment="1">
      <alignment horizontal="left" readingOrder="1"/>
    </xf>
    <xf numFmtId="0" fontId="27" fillId="0" borderId="0" xfId="0" applyFont="1"/>
    <xf numFmtId="0" fontId="26" fillId="0" borderId="0" xfId="0" applyFont="1" applyAlignment="1">
      <alignment horizontal="right" readingOrder="1"/>
    </xf>
    <xf numFmtId="0" fontId="28" fillId="0" borderId="0" xfId="9" applyFont="1" applyAlignment="1" applyProtection="1">
      <alignment horizontal="right"/>
    </xf>
    <xf numFmtId="0" fontId="27" fillId="0" borderId="0" xfId="0" applyFont="1" applyAlignment="1">
      <alignment horizontal="right"/>
    </xf>
    <xf numFmtId="0" fontId="28" fillId="0" borderId="0" xfId="9" applyFont="1" applyAlignment="1" applyProtection="1">
      <alignment horizontal="right" vertical="center"/>
    </xf>
    <xf numFmtId="0" fontId="15" fillId="0" borderId="0" xfId="0" applyFont="1" applyAlignment="1">
      <alignment horizontal="right"/>
    </xf>
    <xf numFmtId="0" fontId="27" fillId="0" borderId="0" xfId="0" applyFont="1" applyAlignment="1"/>
    <xf numFmtId="0" fontId="29" fillId="0" borderId="0" xfId="0" applyFont="1" applyAlignment="1">
      <alignment horizontal="left" readingOrder="1"/>
    </xf>
    <xf numFmtId="0" fontId="16" fillId="6" borderId="0" xfId="0" applyFont="1" applyFill="1" applyAlignment="1">
      <alignment horizontal="center" vertical="center"/>
    </xf>
    <xf numFmtId="0" fontId="19" fillId="6" borderId="0" xfId="0" applyFont="1" applyFill="1"/>
    <xf numFmtId="0" fontId="0" fillId="0" borderId="0" xfId="0" applyAlignment="1">
      <alignment horizontal="left"/>
    </xf>
    <xf numFmtId="0" fontId="0" fillId="0" borderId="0" xfId="0" applyAlignment="1">
      <alignment horizontal="right"/>
    </xf>
    <xf numFmtId="165" fontId="5" fillId="0" borderId="0" xfId="0" applyNumberFormat="1" applyFont="1" applyBorder="1" applyAlignment="1">
      <alignment horizontal="left"/>
    </xf>
    <xf numFmtId="0" fontId="2" fillId="0" borderId="13" xfId="0" applyFont="1" applyBorder="1"/>
    <xf numFmtId="0" fontId="0" fillId="0" borderId="0" xfId="0" applyFill="1"/>
    <xf numFmtId="169" fontId="1" fillId="7" borderId="15" xfId="4" applyFill="1">
      <alignment horizontal="center"/>
    </xf>
    <xf numFmtId="170" fontId="1" fillId="7" borderId="17" xfId="6" applyFill="1">
      <protection locked="0"/>
    </xf>
    <xf numFmtId="170" fontId="1" fillId="7" borderId="15" xfId="7" applyNumberFormat="1" applyFill="1">
      <alignment vertical="center"/>
    </xf>
    <xf numFmtId="0" fontId="0" fillId="7" borderId="19" xfId="0" applyFill="1" applyBorder="1"/>
    <xf numFmtId="9" fontId="2" fillId="7" borderId="22" xfId="3" applyNumberFormat="1" applyFont="1" applyFill="1" applyBorder="1" applyAlignment="1">
      <alignment horizontal="left" indent="1"/>
    </xf>
    <xf numFmtId="14" fontId="0" fillId="0" borderId="0" xfId="0" quotePrefix="1" applyNumberFormat="1" applyFill="1" applyBorder="1"/>
    <xf numFmtId="170" fontId="1" fillId="8" borderId="17" xfId="6" applyFill="1">
      <protection locked="0"/>
    </xf>
    <xf numFmtId="170" fontId="1" fillId="4" borderId="15" xfId="7" applyNumberFormat="1">
      <alignment vertical="center"/>
    </xf>
    <xf numFmtId="0" fontId="0" fillId="0" borderId="19" xfId="0" applyBorder="1"/>
    <xf numFmtId="0" fontId="0" fillId="0" borderId="0" xfId="0" quotePrefix="1" applyBorder="1"/>
    <xf numFmtId="14" fontId="0" fillId="0" borderId="0" xfId="0" quotePrefix="1" applyNumberFormat="1" applyBorder="1"/>
    <xf numFmtId="9" fontId="2" fillId="9" borderId="22" xfId="3" applyNumberFormat="1" applyFont="1" applyFill="1" applyBorder="1" applyAlignment="1">
      <alignment horizontal="left"/>
    </xf>
    <xf numFmtId="0" fontId="5" fillId="0" borderId="0" xfId="0" applyFont="1"/>
    <xf numFmtId="0" fontId="0" fillId="0" borderId="22" xfId="0" applyBorder="1"/>
    <xf numFmtId="9" fontId="2" fillId="9" borderId="22" xfId="3" applyNumberFormat="1" applyFont="1" applyFill="1" applyBorder="1">
      <alignment horizontal="left"/>
    </xf>
    <xf numFmtId="170" fontId="1" fillId="8" borderId="15" xfId="8" applyFill="1" applyAlignment="1"/>
    <xf numFmtId="170" fontId="1" fillId="0" borderId="15" xfId="8" applyAlignment="1"/>
    <xf numFmtId="167" fontId="4" fillId="0" borderId="20" xfId="3" applyFont="1" applyBorder="1">
      <alignment horizontal="left"/>
    </xf>
    <xf numFmtId="167" fontId="2" fillId="0" borderId="22" xfId="3" applyFont="1" applyBorder="1">
      <alignment horizontal="left"/>
    </xf>
    <xf numFmtId="0" fontId="2" fillId="0" borderId="0" xfId="0" quotePrefix="1" applyFont="1" applyBorder="1"/>
    <xf numFmtId="167" fontId="2" fillId="0" borderId="20" xfId="3" applyFont="1" applyBorder="1" applyAlignment="1">
      <alignment horizontal="left" indent="1"/>
    </xf>
    <xf numFmtId="167" fontId="2" fillId="9" borderId="20" xfId="3" applyFont="1" applyFill="1" applyBorder="1" applyAlignment="1">
      <alignment horizontal="left"/>
    </xf>
    <xf numFmtId="167" fontId="2" fillId="0" borderId="19" xfId="3" applyFont="1" applyBorder="1" applyAlignment="1">
      <alignment horizontal="left" indent="1"/>
    </xf>
    <xf numFmtId="167" fontId="2" fillId="9" borderId="22" xfId="3" applyFont="1" applyFill="1" applyBorder="1">
      <alignment horizontal="left"/>
    </xf>
    <xf numFmtId="0" fontId="4" fillId="0" borderId="0" xfId="0" quotePrefix="1" applyFont="1" applyBorder="1"/>
    <xf numFmtId="0" fontId="11" fillId="0" borderId="0" xfId="0" applyFont="1" applyBorder="1"/>
    <xf numFmtId="169" fontId="1" fillId="3" borderId="15" xfId="4" applyAlignment="1">
      <alignment horizontal="center"/>
    </xf>
    <xf numFmtId="170" fontId="1" fillId="8" borderId="17" xfId="6" applyFill="1" applyAlignment="1">
      <protection locked="0"/>
    </xf>
    <xf numFmtId="170" fontId="1" fillId="0" borderId="17" xfId="6" applyAlignment="1">
      <protection locked="0"/>
    </xf>
    <xf numFmtId="0" fontId="0" fillId="0" borderId="22" xfId="0" applyBorder="1" applyAlignment="1"/>
    <xf numFmtId="167" fontId="2" fillId="0" borderId="22" xfId="3" applyFont="1" applyBorder="1" applyAlignment="1">
      <alignment horizontal="left"/>
    </xf>
    <xf numFmtId="167" fontId="10" fillId="0" borderId="10" xfId="3" applyFont="1" applyBorder="1">
      <alignment horizontal="left"/>
    </xf>
    <xf numFmtId="0" fontId="1" fillId="8" borderId="5" xfId="2" applyFill="1">
      <alignment horizontal="center" vertical="center"/>
    </xf>
    <xf numFmtId="0" fontId="1" fillId="0" borderId="5" xfId="2">
      <alignment horizontal="center" vertical="center"/>
    </xf>
    <xf numFmtId="0" fontId="2" fillId="0" borderId="0" xfId="0" applyFont="1" applyFill="1" applyBorder="1" applyAlignment="1">
      <alignment vertical="top" wrapText="1"/>
    </xf>
    <xf numFmtId="0" fontId="2" fillId="8" borderId="25" xfId="0" applyFont="1" applyFill="1" applyBorder="1" applyAlignment="1">
      <alignment vertical="top" wrapText="1"/>
    </xf>
    <xf numFmtId="0" fontId="11" fillId="0" borderId="13" xfId="0" applyFont="1" applyBorder="1" applyAlignment="1">
      <alignment horizontal="left" vertical="center"/>
    </xf>
    <xf numFmtId="0" fontId="0" fillId="0" borderId="13" xfId="0" applyBorder="1"/>
    <xf numFmtId="0" fontId="11" fillId="0" borderId="0" xfId="0" applyFont="1" applyAlignment="1">
      <alignment horizontal="left" vertical="center"/>
    </xf>
    <xf numFmtId="0" fontId="11" fillId="0" borderId="0" xfId="0" applyFont="1" applyAlignment="1">
      <alignment horizontal="center" vertical="top"/>
    </xf>
    <xf numFmtId="0" fontId="10" fillId="0" borderId="0" xfId="0" applyFont="1"/>
    <xf numFmtId="0" fontId="19" fillId="0" borderId="0" xfId="0" applyFont="1"/>
    <xf numFmtId="0" fontId="31" fillId="0" borderId="0" xfId="0" applyFont="1"/>
    <xf numFmtId="14" fontId="11" fillId="0" borderId="6" xfId="0" applyNumberFormat="1" applyFont="1" applyBorder="1" applyAlignment="1">
      <alignment horizontal="center" vertical="center"/>
    </xf>
    <xf numFmtId="0" fontId="2" fillId="0" borderId="0" xfId="0" applyFont="1" applyBorder="1" applyAlignment="1">
      <alignment horizontal="right" vertical="center"/>
    </xf>
    <xf numFmtId="0" fontId="11" fillId="0" borderId="5" xfId="0" applyFont="1" applyBorder="1" applyAlignment="1">
      <alignment horizontal="center" vertical="center"/>
    </xf>
    <xf numFmtId="0" fontId="9" fillId="0" borderId="0" xfId="0" applyFont="1" applyBorder="1"/>
    <xf numFmtId="0" fontId="2" fillId="0" borderId="0" xfId="0" applyFont="1" applyAlignment="1">
      <alignment horizontal="left" vertical="top"/>
    </xf>
    <xf numFmtId="0" fontId="2" fillId="0" borderId="0" xfId="0" applyFont="1" applyBorder="1" applyAlignment="1">
      <alignment horizontal="left" vertical="top"/>
    </xf>
    <xf numFmtId="0" fontId="2" fillId="0" borderId="0" xfId="0" applyFont="1" applyAlignment="1">
      <alignment horizontal="right"/>
    </xf>
    <xf numFmtId="0" fontId="2" fillId="0" borderId="13" xfId="0" applyFont="1" applyBorder="1" applyAlignment="1">
      <alignment horizontal="left" vertical="top"/>
    </xf>
    <xf numFmtId="0" fontId="2" fillId="0" borderId="12" xfId="0" applyFont="1" applyBorder="1"/>
    <xf numFmtId="0" fontId="2" fillId="0" borderId="14" xfId="0" applyFont="1" applyBorder="1" applyAlignment="1">
      <alignment horizontal="center" vertical="top"/>
    </xf>
    <xf numFmtId="0" fontId="2" fillId="0" borderId="8" xfId="0" applyFont="1" applyBorder="1" applyAlignment="1">
      <alignment horizontal="left" vertical="top"/>
    </xf>
    <xf numFmtId="0" fontId="2" fillId="0" borderId="8" xfId="0" applyFont="1" applyBorder="1" applyAlignment="1">
      <alignment horizontal="center"/>
    </xf>
    <xf numFmtId="0" fontId="2" fillId="0" borderId="7" xfId="0" applyFont="1" applyBorder="1" applyAlignment="1">
      <alignment horizontal="center"/>
    </xf>
    <xf numFmtId="0" fontId="2" fillId="0" borderId="0" xfId="0" quotePrefix="1" applyFont="1"/>
    <xf numFmtId="0" fontId="2" fillId="0" borderId="13" xfId="0" applyFont="1" applyBorder="1"/>
    <xf numFmtId="0" fontId="2" fillId="0" borderId="10" xfId="0" applyFont="1" applyBorder="1"/>
    <xf numFmtId="171" fontId="2" fillId="0" borderId="15" xfId="8" applyNumberFormat="1" applyFont="1">
      <alignment vertical="center"/>
    </xf>
    <xf numFmtId="0" fontId="2" fillId="0" borderId="0" xfId="0" quotePrefix="1" applyFont="1" applyBorder="1" applyAlignment="1">
      <alignment horizontal="left" vertical="top"/>
    </xf>
    <xf numFmtId="170" fontId="2" fillId="0" borderId="17" xfId="6" applyFont="1">
      <protection locked="0"/>
    </xf>
    <xf numFmtId="0" fontId="1" fillId="0" borderId="30" xfId="8" applyNumberFormat="1" applyFont="1" applyBorder="1" applyAlignment="1"/>
    <xf numFmtId="169" fontId="1" fillId="0" borderId="8" xfId="4" applyFill="1" applyBorder="1">
      <alignment horizontal="center"/>
    </xf>
    <xf numFmtId="0" fontId="2" fillId="7" borderId="10" xfId="0" applyFont="1" applyFill="1" applyBorder="1"/>
    <xf numFmtId="170" fontId="1" fillId="7" borderId="16" xfId="5" applyFill="1"/>
    <xf numFmtId="0" fontId="4" fillId="0" borderId="0" xfId="0" quotePrefix="1" applyFont="1" applyBorder="1" applyAlignment="1">
      <alignment horizontal="left" vertical="top"/>
    </xf>
    <xf numFmtId="14" fontId="2" fillId="0" borderId="0" xfId="0" quotePrefix="1" applyNumberFormat="1" applyFont="1" applyBorder="1" applyAlignment="1">
      <alignment horizontal="left" vertical="top"/>
    </xf>
    <xf numFmtId="0" fontId="4" fillId="9" borderId="0" xfId="0" quotePrefix="1" applyFont="1" applyFill="1" applyBorder="1" applyAlignment="1">
      <alignment horizontal="left" vertical="top"/>
    </xf>
    <xf numFmtId="0" fontId="4" fillId="7" borderId="0" xfId="0" quotePrefix="1" applyFont="1" applyFill="1" applyBorder="1" applyAlignment="1">
      <alignment horizontal="left" vertical="top"/>
    </xf>
    <xf numFmtId="0" fontId="2" fillId="7" borderId="0" xfId="0" applyFont="1" applyFill="1" applyBorder="1"/>
    <xf numFmtId="169" fontId="0" fillId="7" borderId="15" xfId="4" applyFont="1" applyFill="1">
      <alignment horizontal="center"/>
    </xf>
    <xf numFmtId="0" fontId="2" fillId="7" borderId="0" xfId="0" quotePrefix="1" applyFont="1" applyFill="1" applyBorder="1" applyAlignment="1">
      <alignment horizontal="left" vertical="top"/>
    </xf>
    <xf numFmtId="0" fontId="2" fillId="8" borderId="10" xfId="0" applyFont="1" applyFill="1" applyBorder="1"/>
    <xf numFmtId="0" fontId="2" fillId="8" borderId="0" xfId="0" applyFont="1" applyFill="1" applyBorder="1"/>
    <xf numFmtId="0" fontId="2" fillId="0" borderId="8" xfId="0" quotePrefix="1" applyFont="1" applyBorder="1" applyAlignment="1">
      <alignment horizontal="left" vertical="top"/>
    </xf>
    <xf numFmtId="0" fontId="0" fillId="0" borderId="30" xfId="0" applyBorder="1"/>
    <xf numFmtId="0" fontId="7" fillId="0" borderId="0" xfId="0" applyFont="1" applyBorder="1" applyAlignment="1">
      <alignment horizontal="right"/>
    </xf>
    <xf numFmtId="0" fontId="2" fillId="0" borderId="14" xfId="0" applyFont="1" applyBorder="1" applyAlignment="1">
      <alignment horizontal="left" vertical="top"/>
    </xf>
    <xf numFmtId="0" fontId="2" fillId="0" borderId="13" xfId="0" applyFont="1" applyBorder="1" applyAlignment="1">
      <alignment horizontal="center"/>
    </xf>
    <xf numFmtId="0" fontId="2" fillId="0" borderId="11" xfId="0" applyFont="1" applyBorder="1" applyAlignment="1">
      <alignment horizontal="left" vertical="top"/>
    </xf>
    <xf numFmtId="14" fontId="2" fillId="0" borderId="10" xfId="0" applyNumberFormat="1" applyFont="1" applyBorder="1" applyAlignment="1">
      <alignment horizontal="left"/>
    </xf>
    <xf numFmtId="0" fontId="2" fillId="0" borderId="9" xfId="0" applyFont="1" applyBorder="1" applyAlignment="1">
      <alignment horizontal="left" vertical="top"/>
    </xf>
    <xf numFmtId="165" fontId="5" fillId="0" borderId="7" xfId="0" applyNumberFormat="1" applyFont="1" applyBorder="1" applyAlignment="1">
      <alignment horizontal="left"/>
    </xf>
    <xf numFmtId="175" fontId="5" fillId="0" borderId="0" xfId="0" applyNumberFormat="1" applyFont="1" applyAlignment="1" applyProtection="1">
      <alignment horizontal="left"/>
    </xf>
    <xf numFmtId="164" fontId="5" fillId="0" borderId="7" xfId="0" applyNumberFormat="1" applyFont="1" applyBorder="1" applyAlignment="1">
      <alignment horizontal="left"/>
    </xf>
    <xf numFmtId="0" fontId="2" fillId="0" borderId="22" xfId="0" applyFont="1" applyBorder="1"/>
    <xf numFmtId="170" fontId="1" fillId="0" borderId="17" xfId="6" applyFill="1">
      <protection locked="0"/>
    </xf>
    <xf numFmtId="0" fontId="0" fillId="0" borderId="0" xfId="0" applyFill="1" applyBorder="1"/>
    <xf numFmtId="0" fontId="0" fillId="0" borderId="22" xfId="0" applyFill="1" applyBorder="1"/>
    <xf numFmtId="0" fontId="13" fillId="0" borderId="22" xfId="0" applyFont="1" applyFill="1" applyBorder="1"/>
    <xf numFmtId="0" fontId="2" fillId="0" borderId="22" xfId="0" applyFont="1" applyFill="1" applyBorder="1"/>
    <xf numFmtId="171" fontId="2" fillId="0" borderId="11" xfId="7" applyNumberFormat="1" applyFont="1" applyFill="1" applyBorder="1" applyAlignment="1">
      <alignment horizontal="right"/>
    </xf>
    <xf numFmtId="0" fontId="13" fillId="0" borderId="0" xfId="0" applyFont="1" applyFill="1" applyBorder="1"/>
    <xf numFmtId="0" fontId="10" fillId="0" borderId="0" xfId="0" applyFont="1" applyFill="1" applyBorder="1"/>
    <xf numFmtId="0" fontId="10" fillId="0" borderId="0" xfId="0" applyFont="1" applyBorder="1"/>
    <xf numFmtId="176" fontId="1" fillId="4" borderId="15" xfId="7" applyNumberFormat="1" applyBorder="1" applyAlignment="1">
      <alignment horizontal="center"/>
    </xf>
    <xf numFmtId="0" fontId="5" fillId="0" borderId="11" xfId="0" applyFont="1" applyBorder="1" applyAlignment="1">
      <alignment horizontal="left"/>
    </xf>
    <xf numFmtId="176" fontId="1" fillId="4" borderId="15" xfId="7" applyNumberFormat="1" applyAlignment="1">
      <alignment horizontal="center"/>
    </xf>
    <xf numFmtId="0" fontId="0" fillId="0" borderId="8" xfId="0" quotePrefix="1" applyBorder="1"/>
    <xf numFmtId="168" fontId="2" fillId="0" borderId="15" xfId="8" applyNumberFormat="1" applyFont="1" applyAlignment="1">
      <alignment horizontal="right"/>
    </xf>
    <xf numFmtId="176" fontId="1" fillId="0" borderId="15" xfId="8" applyNumberFormat="1">
      <alignment vertical="center"/>
    </xf>
    <xf numFmtId="0" fontId="2" fillId="0" borderId="0" xfId="0" applyFont="1" applyFill="1" applyBorder="1"/>
    <xf numFmtId="168" fontId="2" fillId="0" borderId="31" xfId="5" applyNumberFormat="1" applyFont="1" applyFill="1" applyBorder="1" applyAlignment="1">
      <alignment horizontal="right"/>
    </xf>
    <xf numFmtId="176" fontId="1" fillId="4" borderId="15" xfId="7" applyNumberFormat="1">
      <alignment vertical="center"/>
    </xf>
    <xf numFmtId="176" fontId="2" fillId="0" borderId="11" xfId="7" applyNumberFormat="1" applyFont="1" applyFill="1" applyBorder="1" applyAlignment="1">
      <alignment horizontal="center"/>
    </xf>
    <xf numFmtId="170" fontId="1" fillId="0" borderId="16" xfId="5" applyFont="1"/>
    <xf numFmtId="177" fontId="1" fillId="4" borderId="15" xfId="7" applyNumberFormat="1" applyAlignment="1">
      <alignment horizontal="center"/>
    </xf>
    <xf numFmtId="0" fontId="2" fillId="0" borderId="0" xfId="0" applyFont="1" applyBorder="1" applyAlignment="1"/>
    <xf numFmtId="0" fontId="5" fillId="0" borderId="0" xfId="0" applyFont="1" applyBorder="1" applyAlignment="1">
      <alignment horizontal="left"/>
    </xf>
    <xf numFmtId="176" fontId="2" fillId="4" borderId="15" xfId="7" quotePrefix="1" applyNumberFormat="1" applyFont="1" applyAlignment="1">
      <alignment horizontal="center"/>
    </xf>
    <xf numFmtId="0" fontId="10" fillId="0" borderId="0" xfId="0" applyFont="1" applyBorder="1" applyAlignment="1"/>
    <xf numFmtId="174" fontId="2" fillId="0" borderId="31" xfId="12" applyFont="1">
      <alignment horizontal="right"/>
    </xf>
    <xf numFmtId="0" fontId="2" fillId="0" borderId="0" xfId="0" applyFont="1" applyBorder="1" applyAlignment="1">
      <alignment horizontal="left"/>
    </xf>
    <xf numFmtId="0" fontId="11" fillId="0" borderId="0" xfId="0" applyFont="1" applyAlignment="1">
      <alignment horizontal="left"/>
    </xf>
    <xf numFmtId="0" fontId="11" fillId="0" borderId="0" xfId="0" applyFont="1"/>
    <xf numFmtId="0" fontId="0" fillId="0" borderId="8" xfId="0" applyBorder="1" applyAlignment="1">
      <alignment horizontal="center"/>
    </xf>
    <xf numFmtId="0" fontId="0" fillId="0" borderId="25" xfId="0" applyBorder="1" applyAlignment="1">
      <alignment horizontal="center" vertical="top"/>
    </xf>
    <xf numFmtId="0" fontId="0" fillId="0" borderId="25" xfId="0" applyBorder="1" applyAlignment="1">
      <alignment horizontal="center" wrapText="1"/>
    </xf>
    <xf numFmtId="0" fontId="35" fillId="0" borderId="0" xfId="0" applyFont="1" applyBorder="1"/>
    <xf numFmtId="0" fontId="2" fillId="0" borderId="0" xfId="0" applyNumberFormat="1" applyFont="1" applyAlignment="1">
      <alignment vertical="center"/>
    </xf>
    <xf numFmtId="0" fontId="11" fillId="8" borderId="6" xfId="0" applyFont="1" applyFill="1" applyBorder="1" applyAlignment="1" applyProtection="1">
      <alignment horizontal="center" vertical="center"/>
    </xf>
    <xf numFmtId="0" fontId="2" fillId="0" borderId="0" xfId="0" applyFont="1" applyAlignment="1">
      <alignment vertical="center"/>
    </xf>
    <xf numFmtId="0" fontId="2" fillId="0" borderId="0" xfId="0" applyNumberFormat="1" applyFont="1" applyBorder="1" applyAlignment="1">
      <alignment vertical="center"/>
    </xf>
    <xf numFmtId="0" fontId="2" fillId="7" borderId="0" xfId="0" applyNumberFormat="1" applyFont="1" applyFill="1" applyBorder="1" applyAlignment="1">
      <alignment vertical="center"/>
    </xf>
    <xf numFmtId="0" fontId="2" fillId="11" borderId="0" xfId="0" applyNumberFormat="1" applyFont="1" applyFill="1" applyAlignment="1">
      <alignment vertical="center"/>
    </xf>
    <xf numFmtId="0" fontId="2" fillId="0" borderId="0" xfId="0" applyNumberFormat="1" applyFont="1" applyFill="1" applyAlignment="1">
      <alignment vertical="center"/>
    </xf>
    <xf numFmtId="0" fontId="2" fillId="0" borderId="0" xfId="0" applyFont="1" applyBorder="1" applyAlignment="1">
      <alignment vertical="center"/>
    </xf>
    <xf numFmtId="0" fontId="2" fillId="0" borderId="13" xfId="0" applyNumberFormat="1" applyFont="1" applyBorder="1" applyAlignment="1">
      <alignment vertical="center"/>
    </xf>
    <xf numFmtId="0" fontId="2" fillId="0" borderId="25" xfId="0" applyFont="1" applyBorder="1" applyAlignment="1">
      <alignment horizontal="center"/>
    </xf>
    <xf numFmtId="0" fontId="2" fillId="0" borderId="8" xfId="0" applyNumberFormat="1" applyFont="1" applyBorder="1" applyAlignment="1">
      <alignment vertical="center"/>
    </xf>
    <xf numFmtId="0" fontId="2" fillId="0" borderId="11" xfId="0" applyFont="1" applyBorder="1" applyAlignment="1">
      <alignment vertical="center"/>
    </xf>
    <xf numFmtId="0" fontId="11" fillId="0" borderId="0" xfId="0" applyNumberFormat="1" applyFont="1" applyFill="1" applyBorder="1" applyAlignment="1">
      <alignment horizontal="left" wrapText="1"/>
    </xf>
    <xf numFmtId="0" fontId="2" fillId="0" borderId="10" xfId="0" applyFont="1" applyFill="1" applyBorder="1"/>
    <xf numFmtId="170" fontId="1" fillId="0" borderId="16" xfId="5" applyFill="1"/>
    <xf numFmtId="169" fontId="1" fillId="0" borderId="15" xfId="4" applyFill="1">
      <alignment horizontal="center"/>
    </xf>
    <xf numFmtId="0" fontId="3" fillId="2" borderId="1" xfId="1" applyAlignment="1">
      <alignment horizontal="center" vertical="center"/>
    </xf>
    <xf numFmtId="0" fontId="10" fillId="0" borderId="0" xfId="0" quotePrefix="1" applyNumberFormat="1" applyFont="1" applyFill="1" applyBorder="1" applyAlignment="1">
      <alignment wrapText="1"/>
    </xf>
    <xf numFmtId="0" fontId="4" fillId="0" borderId="0" xfId="0" quotePrefix="1" applyNumberFormat="1" applyFont="1" applyFill="1" applyBorder="1" applyAlignment="1">
      <alignment vertical="center" wrapText="1"/>
    </xf>
    <xf numFmtId="0" fontId="2" fillId="0" borderId="0" xfId="0" quotePrefix="1" applyNumberFormat="1" applyFont="1" applyFill="1" applyBorder="1" applyAlignment="1"/>
    <xf numFmtId="0" fontId="2" fillId="0" borderId="0" xfId="0" quotePrefix="1" applyNumberFormat="1" applyFont="1" applyFill="1" applyBorder="1" applyAlignment="1">
      <alignment wrapText="1"/>
    </xf>
    <xf numFmtId="0" fontId="4" fillId="0" borderId="0" xfId="0" quotePrefix="1" applyNumberFormat="1" applyFont="1" applyFill="1" applyBorder="1" applyAlignment="1"/>
    <xf numFmtId="0" fontId="2" fillId="0" borderId="10" xfId="0" applyFont="1" applyFill="1" applyBorder="1" applyAlignment="1"/>
    <xf numFmtId="0" fontId="2" fillId="0" borderId="11" xfId="0" applyFont="1" applyBorder="1" applyAlignment="1"/>
    <xf numFmtId="0" fontId="2" fillId="0" borderId="0" xfId="0" applyFont="1" applyAlignment="1"/>
    <xf numFmtId="0" fontId="2" fillId="0" borderId="0" xfId="0" applyNumberFormat="1" applyFont="1" applyFill="1" applyBorder="1" applyAlignment="1">
      <alignment wrapText="1"/>
    </xf>
    <xf numFmtId="0" fontId="2" fillId="0" borderId="0" xfId="0" applyNumberFormat="1" applyFont="1" applyFill="1" applyBorder="1" applyAlignment="1"/>
    <xf numFmtId="0" fontId="2" fillId="0" borderId="22" xfId="0" applyFont="1" applyFill="1" applyBorder="1" applyAlignment="1">
      <alignment wrapText="1"/>
    </xf>
    <xf numFmtId="0" fontId="2" fillId="0" borderId="22" xfId="0" applyFont="1" applyFill="1" applyBorder="1" applyAlignment="1"/>
    <xf numFmtId="0" fontId="2" fillId="0" borderId="11" xfId="0" applyFont="1" applyBorder="1" applyAlignment="1">
      <alignment horizontal="left"/>
    </xf>
    <xf numFmtId="0" fontId="4" fillId="0" borderId="0" xfId="0" applyNumberFormat="1" applyFont="1" applyFill="1" applyBorder="1" applyAlignment="1"/>
    <xf numFmtId="170" fontId="2" fillId="0" borderId="15" xfId="8" applyFont="1" applyFill="1" applyAlignment="1"/>
    <xf numFmtId="0" fontId="5" fillId="0" borderId="11" xfId="0" applyFont="1" applyBorder="1"/>
    <xf numFmtId="0" fontId="2" fillId="0" borderId="8" xfId="0" quotePrefix="1" applyNumberFormat="1" applyFont="1" applyFill="1" applyBorder="1" applyAlignment="1"/>
    <xf numFmtId="0" fontId="2" fillId="0" borderId="8" xfId="0" applyFont="1" applyFill="1" applyBorder="1"/>
    <xf numFmtId="0" fontId="1" fillId="0" borderId="30" xfId="8" applyNumberFormat="1" applyFont="1" applyFill="1" applyBorder="1" applyAlignment="1"/>
    <xf numFmtId="171" fontId="2" fillId="0" borderId="15" xfId="8" applyNumberFormat="1" applyFont="1" applyFill="1">
      <alignment vertical="center"/>
    </xf>
    <xf numFmtId="0" fontId="4" fillId="0" borderId="0" xfId="0" applyNumberFormat="1" applyFont="1" applyFill="1" applyBorder="1" applyAlignment="1">
      <alignment wrapText="1"/>
    </xf>
    <xf numFmtId="168" fontId="2" fillId="0" borderId="15" xfId="8" applyNumberFormat="1" applyFont="1" applyFill="1" applyAlignment="1">
      <alignment horizontal="right"/>
    </xf>
    <xf numFmtId="170" fontId="1" fillId="0" borderId="15" xfId="8" applyFill="1" applyAlignment="1"/>
    <xf numFmtId="170" fontId="1" fillId="0" borderId="17" xfId="6" applyFill="1" applyBorder="1">
      <protection locked="0"/>
    </xf>
    <xf numFmtId="169" fontId="1" fillId="0" borderId="15" xfId="4" applyFill="1" applyBorder="1">
      <alignment horizontal="center"/>
    </xf>
    <xf numFmtId="0" fontId="2" fillId="0" borderId="0" xfId="0" applyNumberFormat="1" applyFont="1" applyFill="1" applyBorder="1" applyAlignment="1">
      <alignment vertical="top" wrapText="1"/>
    </xf>
    <xf numFmtId="0" fontId="4" fillId="0" borderId="0" xfId="0" quotePrefix="1" applyNumberFormat="1" applyFont="1" applyFill="1" applyBorder="1" applyAlignment="1">
      <alignment wrapText="1"/>
    </xf>
    <xf numFmtId="14" fontId="4" fillId="0" borderId="0" xfId="0" quotePrefix="1" applyNumberFormat="1" applyFont="1" applyFill="1" applyBorder="1" applyAlignment="1"/>
    <xf numFmtId="0" fontId="0" fillId="0" borderId="30" xfId="0" applyFill="1" applyBorder="1"/>
    <xf numFmtId="0" fontId="10" fillId="0" borderId="0" xfId="0" quotePrefix="1" applyNumberFormat="1" applyFont="1" applyFill="1" applyBorder="1" applyAlignment="1"/>
    <xf numFmtId="170" fontId="2" fillId="0" borderId="17" xfId="6" applyFont="1" applyFill="1">
      <protection locked="0"/>
    </xf>
    <xf numFmtId="169" fontId="1" fillId="0" borderId="15" xfId="4" applyFont="1" applyFill="1">
      <alignment horizontal="center"/>
    </xf>
    <xf numFmtId="0" fontId="13" fillId="2" borderId="1" xfId="1" applyFont="1" applyAlignment="1">
      <alignment horizontal="center" vertical="center"/>
    </xf>
    <xf numFmtId="0" fontId="2" fillId="0" borderId="0" xfId="0" quotePrefix="1" applyNumberFormat="1" applyFont="1" applyFill="1" applyBorder="1" applyAlignment="1">
      <alignment horizontal="left" wrapText="1"/>
    </xf>
    <xf numFmtId="0" fontId="0" fillId="0" borderId="0" xfId="0" quotePrefix="1" applyFill="1"/>
    <xf numFmtId="0" fontId="0" fillId="0" borderId="15" xfId="8" applyNumberFormat="1" applyFont="1" applyFill="1" applyAlignment="1"/>
    <xf numFmtId="0" fontId="2" fillId="0" borderId="0" xfId="0" quotePrefix="1" applyNumberFormat="1" applyFont="1" applyFill="1" applyBorder="1" applyAlignment="1">
      <alignment horizontal="left"/>
    </xf>
    <xf numFmtId="0" fontId="2" fillId="0" borderId="0" xfId="0" applyFont="1" applyFill="1"/>
    <xf numFmtId="0" fontId="2" fillId="0" borderId="0" xfId="0" quotePrefix="1" applyNumberFormat="1" applyFont="1" applyFill="1" applyBorder="1" applyAlignment="1">
      <alignment vertical="top"/>
    </xf>
    <xf numFmtId="0" fontId="2" fillId="0" borderId="11" xfId="0" applyFont="1" applyFill="1" applyBorder="1"/>
    <xf numFmtId="0" fontId="11" fillId="0" borderId="0" xfId="0" applyNumberFormat="1" applyFont="1" applyFill="1" applyBorder="1" applyAlignment="1">
      <alignment horizontal="left"/>
    </xf>
    <xf numFmtId="10" fontId="39" fillId="10" borderId="0" xfId="14" applyNumberFormat="1" applyFont="1" applyFill="1" applyBorder="1" applyAlignment="1">
      <alignment horizontal="center"/>
    </xf>
    <xf numFmtId="0" fontId="2" fillId="10" borderId="0" xfId="0" applyFont="1" applyFill="1" applyBorder="1" applyAlignment="1">
      <alignment horizontal="center"/>
    </xf>
    <xf numFmtId="0" fontId="39" fillId="0" borderId="0" xfId="0" applyFont="1" applyFill="1" applyBorder="1" applyAlignment="1">
      <alignment horizontal="center"/>
    </xf>
    <xf numFmtId="0" fontId="4" fillId="0" borderId="0" xfId="0" applyFont="1" applyFill="1" applyBorder="1" applyAlignment="1">
      <alignment horizontal="center"/>
    </xf>
    <xf numFmtId="178" fontId="39" fillId="0" borderId="0" xfId="14" applyNumberFormat="1" applyFont="1" applyFill="1" applyBorder="1" applyAlignment="1">
      <alignment horizontal="center"/>
    </xf>
    <xf numFmtId="179" fontId="2" fillId="0" borderId="0" xfId="14" applyNumberFormat="1" applyFont="1" applyFill="1" applyBorder="1" applyAlignment="1">
      <alignment horizontal="center"/>
    </xf>
    <xf numFmtId="178" fontId="2" fillId="0" borderId="0" xfId="14" applyNumberFormat="1" applyFont="1" applyFill="1" applyBorder="1" applyAlignment="1">
      <alignment horizontal="center"/>
    </xf>
    <xf numFmtId="10" fontId="2" fillId="0" borderId="0" xfId="14" applyNumberFormat="1" applyFont="1" applyFill="1" applyBorder="1" applyAlignment="1">
      <alignment horizontal="center"/>
    </xf>
    <xf numFmtId="174" fontId="2" fillId="0" borderId="31" xfId="12" applyFill="1">
      <alignment horizontal="right"/>
    </xf>
    <xf numFmtId="180" fontId="2" fillId="0" borderId="32" xfId="16" applyFill="1">
      <alignment horizontal="right"/>
      <protection locked="0"/>
    </xf>
    <xf numFmtId="181" fontId="1" fillId="0" borderId="17" xfId="6" applyNumberFormat="1" applyFill="1">
      <protection locked="0"/>
    </xf>
    <xf numFmtId="170" fontId="1" fillId="0" borderId="16" xfId="5" quotePrefix="1" applyFill="1"/>
    <xf numFmtId="0" fontId="4" fillId="0" borderId="8" xfId="0" applyNumberFormat="1" applyFont="1" applyFill="1" applyBorder="1" applyAlignment="1"/>
    <xf numFmtId="0" fontId="2" fillId="0" borderId="10" xfId="0" applyFont="1" applyFill="1" applyBorder="1" applyAlignment="1">
      <alignment vertical="top"/>
    </xf>
    <xf numFmtId="0" fontId="2" fillId="0" borderId="0" xfId="0" applyFont="1" applyAlignment="1">
      <alignment vertical="top"/>
    </xf>
    <xf numFmtId="170" fontId="1" fillId="0" borderId="17" xfId="17" applyFill="1"/>
    <xf numFmtId="174" fontId="2" fillId="0" borderId="32" xfId="18" applyFill="1">
      <alignment horizontal="right"/>
    </xf>
    <xf numFmtId="174" fontId="2" fillId="0" borderId="15" xfId="8" quotePrefix="1" applyNumberFormat="1" applyFont="1" applyFill="1" applyAlignment="1">
      <alignment horizontal="right"/>
    </xf>
    <xf numFmtId="174" fontId="2" fillId="0" borderId="32" xfId="18" applyFont="1" applyFill="1">
      <alignment horizontal="right"/>
    </xf>
    <xf numFmtId="180" fontId="2" fillId="0" borderId="15" xfId="8" applyNumberFormat="1" applyFont="1" applyFill="1" applyAlignment="1">
      <alignment horizontal="right"/>
    </xf>
    <xf numFmtId="170" fontId="1" fillId="0" borderId="17" xfId="17" applyFill="1" applyAlignment="1">
      <alignment horizontal="right"/>
    </xf>
    <xf numFmtId="170" fontId="1" fillId="0" borderId="15" xfId="8" applyFill="1" applyAlignment="1">
      <alignment horizontal="right"/>
    </xf>
    <xf numFmtId="0" fontId="10" fillId="0" borderId="0" xfId="0" quotePrefix="1" applyNumberFormat="1" applyFont="1" applyFill="1" applyBorder="1" applyAlignment="1">
      <alignment horizontal="left" wrapText="1"/>
    </xf>
    <xf numFmtId="0" fontId="2" fillId="8" borderId="0" xfId="0" quotePrefix="1" applyNumberFormat="1" applyFont="1" applyFill="1" applyBorder="1" applyAlignment="1">
      <alignment wrapText="1"/>
    </xf>
    <xf numFmtId="168" fontId="2" fillId="8" borderId="17" xfId="19" applyFill="1">
      <alignment horizontal="center"/>
      <protection locked="0"/>
    </xf>
    <xf numFmtId="169" fontId="1" fillId="8" borderId="15" xfId="4" applyFill="1">
      <alignment horizontal="center"/>
    </xf>
    <xf numFmtId="0" fontId="11" fillId="0" borderId="0" xfId="0" quotePrefix="1" applyNumberFormat="1" applyFont="1" applyFill="1" applyBorder="1" applyAlignment="1"/>
    <xf numFmtId="0" fontId="10" fillId="8" borderId="0" xfId="0" quotePrefix="1" applyNumberFormat="1" applyFont="1" applyFill="1" applyBorder="1" applyAlignment="1"/>
    <xf numFmtId="0" fontId="10" fillId="8" borderId="0" xfId="0" quotePrefix="1" applyNumberFormat="1" applyFont="1" applyFill="1" applyBorder="1" applyAlignment="1">
      <alignment wrapText="1"/>
    </xf>
    <xf numFmtId="170" fontId="1" fillId="8" borderId="16" xfId="5" applyFill="1"/>
    <xf numFmtId="0" fontId="2" fillId="8" borderId="0" xfId="0" quotePrefix="1" applyNumberFormat="1" applyFont="1" applyFill="1" applyBorder="1" applyAlignment="1"/>
    <xf numFmtId="182" fontId="2" fillId="8" borderId="15" xfId="8" applyNumberFormat="1" applyFont="1" applyFill="1" applyAlignment="1"/>
    <xf numFmtId="182" fontId="2" fillId="8" borderId="17" xfId="6" applyNumberFormat="1" applyFont="1" applyFill="1">
      <protection locked="0"/>
    </xf>
    <xf numFmtId="0" fontId="2" fillId="0" borderId="8" xfId="0" quotePrefix="1" applyNumberFormat="1" applyFont="1" applyBorder="1" applyAlignment="1">
      <alignment vertical="center"/>
    </xf>
    <xf numFmtId="0" fontId="2" fillId="0" borderId="0" xfId="0" quotePrefix="1" applyNumberFormat="1" applyFont="1" applyBorder="1" applyAlignment="1">
      <alignment vertical="center"/>
    </xf>
    <xf numFmtId="0" fontId="2" fillId="0" borderId="0" xfId="0" quotePrefix="1" applyNumberFormat="1" applyFont="1" applyBorder="1" applyAlignment="1">
      <alignment horizontal="right" vertical="center"/>
    </xf>
    <xf numFmtId="0" fontId="2" fillId="0" borderId="14" xfId="0" applyNumberFormat="1" applyFont="1" applyBorder="1" applyAlignment="1">
      <alignment vertical="center"/>
    </xf>
    <xf numFmtId="0" fontId="2" fillId="0" borderId="11" xfId="0" applyNumberFormat="1" applyFont="1" applyBorder="1" applyAlignment="1">
      <alignment vertical="center"/>
    </xf>
    <xf numFmtId="165" fontId="5" fillId="0" borderId="10" xfId="0" applyNumberFormat="1" applyFont="1" applyBorder="1" applyAlignment="1">
      <alignment horizontal="left"/>
    </xf>
    <xf numFmtId="0" fontId="2" fillId="0" borderId="9" xfId="0" applyNumberFormat="1" applyFont="1" applyBorder="1" applyAlignment="1">
      <alignment vertical="center"/>
    </xf>
    <xf numFmtId="0" fontId="2" fillId="0" borderId="8" xfId="0" applyFont="1" applyBorder="1" applyAlignment="1">
      <alignment horizontal="right"/>
    </xf>
    <xf numFmtId="183" fontId="5" fillId="0" borderId="7" xfId="0" applyNumberFormat="1" applyFont="1" applyBorder="1" applyAlignment="1" applyProtection="1">
      <alignment horizontal="left"/>
    </xf>
    <xf numFmtId="0" fontId="11" fillId="9" borderId="6" xfId="0" applyFont="1" applyFill="1" applyBorder="1" applyAlignment="1" applyProtection="1">
      <alignment horizontal="center" vertical="center"/>
    </xf>
    <xf numFmtId="0" fontId="11" fillId="0" borderId="0" xfId="0" applyNumberFormat="1" applyFont="1" applyBorder="1" applyAlignment="1">
      <alignment horizontal="left" wrapText="1"/>
    </xf>
    <xf numFmtId="0" fontId="10" fillId="0" borderId="0" xfId="0" quotePrefix="1" applyNumberFormat="1" applyFont="1" applyBorder="1" applyAlignment="1">
      <alignment wrapText="1"/>
    </xf>
    <xf numFmtId="0" fontId="4" fillId="0" borderId="0" xfId="0" quotePrefix="1" applyNumberFormat="1" applyFont="1" applyBorder="1" applyAlignment="1">
      <alignment vertical="center" wrapText="1"/>
    </xf>
    <xf numFmtId="0" fontId="2" fillId="0" borderId="0" xfId="0" quotePrefix="1" applyNumberFormat="1" applyFont="1" applyBorder="1" applyAlignment="1"/>
    <xf numFmtId="0" fontId="2" fillId="0" borderId="0" xfId="0" quotePrefix="1" applyNumberFormat="1" applyFont="1" applyBorder="1" applyAlignment="1">
      <alignment wrapText="1"/>
    </xf>
    <xf numFmtId="0" fontId="4" fillId="0" borderId="0" xfId="0" quotePrefix="1" applyNumberFormat="1" applyFont="1" applyBorder="1" applyAlignment="1"/>
    <xf numFmtId="0" fontId="2" fillId="0" borderId="10" xfId="0" applyFont="1" applyBorder="1" applyAlignment="1"/>
    <xf numFmtId="0" fontId="2" fillId="0" borderId="0" xfId="0" applyNumberFormat="1" applyFont="1" applyBorder="1" applyAlignment="1">
      <alignment wrapText="1"/>
    </xf>
    <xf numFmtId="0" fontId="2" fillId="0" borderId="0" xfId="0" applyNumberFormat="1" applyFont="1" applyBorder="1" applyAlignment="1"/>
    <xf numFmtId="0" fontId="4" fillId="0" borderId="0" xfId="0" applyNumberFormat="1" applyFont="1" applyBorder="1" applyAlignment="1"/>
    <xf numFmtId="170" fontId="2" fillId="0" borderId="15" xfId="8" applyFont="1" applyAlignment="1"/>
    <xf numFmtId="0" fontId="2" fillId="0" borderId="8" xfId="0" quotePrefix="1" applyNumberFormat="1" applyFont="1" applyBorder="1" applyAlignment="1"/>
    <xf numFmtId="169" fontId="1" fillId="3" borderId="15" xfId="4" applyBorder="1">
      <alignment horizontal="center"/>
    </xf>
    <xf numFmtId="0" fontId="10" fillId="0" borderId="0" xfId="0" quotePrefix="1" applyNumberFormat="1" applyFont="1" applyBorder="1" applyAlignment="1"/>
    <xf numFmtId="169" fontId="1" fillId="3" borderId="15" xfId="4" applyFont="1">
      <alignment horizontal="center"/>
    </xf>
    <xf numFmtId="0" fontId="2" fillId="0" borderId="0" xfId="0" quotePrefix="1" applyNumberFormat="1" applyFont="1" applyBorder="1" applyAlignment="1">
      <alignment horizontal="left" wrapText="1"/>
    </xf>
    <xf numFmtId="0" fontId="2" fillId="0" borderId="0" xfId="0" quotePrefix="1" applyNumberFormat="1" applyFont="1" applyBorder="1" applyAlignment="1">
      <alignment horizontal="left"/>
    </xf>
    <xf numFmtId="169" fontId="0" fillId="3" borderId="15" xfId="4" applyFont="1">
      <alignment horizontal="center"/>
    </xf>
    <xf numFmtId="0" fontId="11" fillId="0" borderId="0" xfId="0" applyNumberFormat="1" applyFont="1" applyBorder="1" applyAlignment="1">
      <alignment horizontal="left"/>
    </xf>
    <xf numFmtId="0" fontId="10" fillId="7" borderId="0" xfId="0" quotePrefix="1" applyNumberFormat="1" applyFont="1" applyFill="1" applyBorder="1" applyAlignment="1"/>
    <xf numFmtId="1" fontId="1" fillId="0" borderId="17" xfId="15">
      <alignment horizontal="center"/>
      <protection locked="0"/>
    </xf>
    <xf numFmtId="174" fontId="2" fillId="0" borderId="31" xfId="12">
      <alignment horizontal="right"/>
    </xf>
    <xf numFmtId="180" fontId="2" fillId="0" borderId="32" xfId="16">
      <alignment horizontal="right"/>
      <protection locked="0"/>
    </xf>
    <xf numFmtId="170" fontId="1" fillId="0" borderId="16" xfId="5" quotePrefix="1"/>
    <xf numFmtId="169" fontId="1" fillId="13" borderId="15" xfId="4" applyFill="1" applyBorder="1">
      <alignment horizontal="center"/>
    </xf>
    <xf numFmtId="170" fontId="1" fillId="12" borderId="17" xfId="17"/>
    <xf numFmtId="170" fontId="1" fillId="0" borderId="15" xfId="8" applyAlignment="1">
      <alignment horizontal="right"/>
    </xf>
    <xf numFmtId="0" fontId="2" fillId="0" borderId="0" xfId="20" applyNumberFormat="1" applyFont="1" applyAlignment="1">
      <alignment vertical="center"/>
    </xf>
    <xf numFmtId="0" fontId="2" fillId="0" borderId="0" xfId="20" applyFont="1"/>
    <xf numFmtId="0" fontId="2" fillId="0" borderId="0" xfId="20" applyFont="1" applyAlignment="1">
      <alignment horizontal="right" vertical="center"/>
    </xf>
    <xf numFmtId="0" fontId="2" fillId="0" borderId="0" xfId="20" applyFont="1" applyAlignment="1">
      <alignment vertical="center"/>
    </xf>
    <xf numFmtId="0" fontId="1" fillId="0" borderId="0" xfId="20"/>
    <xf numFmtId="0" fontId="2" fillId="0" borderId="0" xfId="20" applyNumberFormat="1" applyFont="1" applyBorder="1" applyAlignment="1">
      <alignment vertical="center"/>
    </xf>
    <xf numFmtId="0" fontId="2" fillId="0" borderId="0" xfId="20" applyFont="1" applyBorder="1"/>
    <xf numFmtId="0" fontId="11" fillId="0" borderId="5" xfId="20" applyFont="1" applyBorder="1" applyAlignment="1">
      <alignment horizontal="center" vertical="center"/>
    </xf>
    <xf numFmtId="14" fontId="11" fillId="0" borderId="6" xfId="20" applyNumberFormat="1" applyFont="1" applyBorder="1" applyAlignment="1">
      <alignment horizontal="center" vertical="center"/>
    </xf>
    <xf numFmtId="0" fontId="31" fillId="0" borderId="0" xfId="20" applyFont="1"/>
    <xf numFmtId="0" fontId="2" fillId="7" borderId="0" xfId="20" applyNumberFormat="1" applyFont="1" applyFill="1" applyBorder="1" applyAlignment="1">
      <alignment vertical="center"/>
    </xf>
    <xf numFmtId="0" fontId="10" fillId="0" borderId="0" xfId="20" applyFont="1"/>
    <xf numFmtId="0" fontId="12" fillId="0" borderId="0" xfId="20" applyFont="1" applyBorder="1"/>
    <xf numFmtId="0" fontId="2" fillId="11" borderId="0" xfId="20" applyNumberFormat="1" applyFont="1" applyFill="1" applyAlignment="1">
      <alignment vertical="center"/>
    </xf>
    <xf numFmtId="0" fontId="2" fillId="0" borderId="0" xfId="20" applyFont="1" applyAlignment="1">
      <alignment horizontal="right"/>
    </xf>
    <xf numFmtId="0" fontId="2" fillId="0" borderId="0" xfId="20" applyNumberFormat="1" applyFont="1" applyFill="1" applyAlignment="1">
      <alignment vertical="center"/>
    </xf>
    <xf numFmtId="0" fontId="2" fillId="0" borderId="0" xfId="20" applyFont="1" applyAlignment="1">
      <alignment horizontal="left" vertical="top"/>
    </xf>
    <xf numFmtId="0" fontId="11" fillId="0" borderId="0" xfId="20" applyFont="1" applyAlignment="1">
      <alignment horizontal="left" vertical="center"/>
    </xf>
    <xf numFmtId="0" fontId="2" fillId="0" borderId="8" xfId="20" applyFont="1" applyBorder="1"/>
    <xf numFmtId="0" fontId="2" fillId="0" borderId="0" xfId="20" applyFont="1" applyBorder="1" applyAlignment="1">
      <alignment vertical="center"/>
    </xf>
    <xf numFmtId="0" fontId="2" fillId="0" borderId="13" xfId="20" applyFont="1" applyBorder="1"/>
    <xf numFmtId="0" fontId="11" fillId="0" borderId="13" xfId="20" applyFont="1" applyBorder="1" applyAlignment="1">
      <alignment horizontal="left" vertical="center"/>
    </xf>
    <xf numFmtId="0" fontId="2" fillId="0" borderId="12" xfId="20" applyFont="1" applyBorder="1"/>
    <xf numFmtId="0" fontId="1" fillId="0" borderId="25" xfId="20" applyBorder="1"/>
    <xf numFmtId="0" fontId="2" fillId="0" borderId="11" xfId="20" applyFont="1" applyBorder="1"/>
    <xf numFmtId="0" fontId="2" fillId="0" borderId="8" xfId="20" applyFont="1" applyBorder="1" applyAlignment="1">
      <alignment horizontal="center"/>
    </xf>
    <xf numFmtId="0" fontId="2" fillId="0" borderId="7" xfId="20" applyFont="1" applyBorder="1" applyAlignment="1">
      <alignment horizontal="center"/>
    </xf>
    <xf numFmtId="0" fontId="1" fillId="0" borderId="5" xfId="20" applyBorder="1"/>
    <xf numFmtId="0" fontId="2" fillId="0" borderId="11" xfId="20" applyFont="1" applyBorder="1" applyAlignment="1">
      <alignment vertical="center"/>
    </xf>
    <xf numFmtId="0" fontId="2" fillId="0" borderId="14" xfId="20" applyNumberFormat="1" applyFont="1" applyBorder="1" applyAlignment="1">
      <alignment vertical="center"/>
    </xf>
    <xf numFmtId="171" fontId="2" fillId="0" borderId="25" xfId="8" applyNumberFormat="1" applyFont="1" applyBorder="1">
      <alignment vertical="center"/>
    </xf>
    <xf numFmtId="169" fontId="1" fillId="3" borderId="25" xfId="4" applyBorder="1">
      <alignment horizontal="center"/>
    </xf>
    <xf numFmtId="0" fontId="2" fillId="0" borderId="11" xfId="20" quotePrefix="1" applyNumberFormat="1" applyFont="1" applyFill="1" applyBorder="1" applyAlignment="1"/>
    <xf numFmtId="0" fontId="2" fillId="0" borderId="10" xfId="20" applyFont="1" applyFill="1" applyBorder="1"/>
    <xf numFmtId="170" fontId="1" fillId="0" borderId="15" xfId="8" applyBorder="1" applyAlignment="1">
      <alignment horizontal="right"/>
    </xf>
    <xf numFmtId="0" fontId="2" fillId="0" borderId="0" xfId="20" applyFont="1" applyFill="1" applyBorder="1"/>
    <xf numFmtId="0" fontId="1" fillId="0" borderId="0" xfId="20" applyFill="1"/>
    <xf numFmtId="170" fontId="1" fillId="0" borderId="25" xfId="8" applyBorder="1" applyAlignment="1">
      <alignment horizontal="right"/>
    </xf>
    <xf numFmtId="169" fontId="1" fillId="13" borderId="25" xfId="4" applyFill="1" applyBorder="1">
      <alignment horizontal="center"/>
    </xf>
    <xf numFmtId="0" fontId="2" fillId="0" borderId="13" xfId="20" applyFont="1" applyBorder="1" applyAlignment="1">
      <alignment horizontal="right"/>
    </xf>
    <xf numFmtId="167" fontId="2" fillId="0" borderId="12" xfId="20" applyNumberFormat="1" applyFont="1" applyBorder="1" applyAlignment="1">
      <alignment horizontal="left"/>
    </xf>
    <xf numFmtId="0" fontId="2" fillId="0" borderId="0" xfId="20" applyFont="1" applyBorder="1" applyAlignment="1">
      <alignment horizontal="center"/>
    </xf>
    <xf numFmtId="14" fontId="2" fillId="0" borderId="10" xfId="20" applyNumberFormat="1" applyFont="1" applyBorder="1" applyAlignment="1">
      <alignment horizontal="left"/>
    </xf>
    <xf numFmtId="2" fontId="2" fillId="0" borderId="10" xfId="20" applyNumberFormat="1" applyFont="1" applyBorder="1" applyAlignment="1">
      <alignment horizontal="left"/>
    </xf>
    <xf numFmtId="0" fontId="2" fillId="0" borderId="10" xfId="20" applyFont="1" applyBorder="1"/>
    <xf numFmtId="165" fontId="5" fillId="0" borderId="10" xfId="20" applyNumberFormat="1" applyFont="1" applyBorder="1" applyAlignment="1">
      <alignment horizontal="left"/>
    </xf>
    <xf numFmtId="0" fontId="2" fillId="0" borderId="8" xfId="20" applyFont="1" applyBorder="1" applyAlignment="1">
      <alignment horizontal="right"/>
    </xf>
    <xf numFmtId="183" fontId="5" fillId="0" borderId="7" xfId="20" applyNumberFormat="1" applyFont="1" applyBorder="1" applyAlignment="1" applyProtection="1">
      <alignment horizontal="left"/>
    </xf>
    <xf numFmtId="175" fontId="5" fillId="0" borderId="0" xfId="20" applyNumberFormat="1" applyFont="1" applyAlignment="1" applyProtection="1">
      <alignment horizontal="left"/>
    </xf>
    <xf numFmtId="0" fontId="2" fillId="0" borderId="0" xfId="20" applyFont="1" applyBorder="1" applyAlignment="1">
      <alignment horizontal="right"/>
    </xf>
    <xf numFmtId="0" fontId="0" fillId="0" borderId="0" xfId="0"/>
    <xf numFmtId="0" fontId="2" fillId="0" borderId="0" xfId="0" applyFont="1" applyBorder="1" applyAlignment="1"/>
    <xf numFmtId="0" fontId="3" fillId="7" borderId="1" xfId="1" applyFill="1" applyAlignment="1">
      <alignment horizontal="center" vertical="center"/>
    </xf>
    <xf numFmtId="0" fontId="0" fillId="7" borderId="0" xfId="0" applyFill="1"/>
    <xf numFmtId="0" fontId="2" fillId="7" borderId="0" xfId="0" applyFont="1" applyFill="1"/>
    <xf numFmtId="0" fontId="0" fillId="8" borderId="0" xfId="0" applyFill="1" applyBorder="1"/>
    <xf numFmtId="0" fontId="0" fillId="8" borderId="0" xfId="0" applyFill="1"/>
    <xf numFmtId="171" fontId="1" fillId="8" borderId="15" xfId="8" applyNumberFormat="1" applyFill="1">
      <alignment vertical="center"/>
    </xf>
    <xf numFmtId="0" fontId="10" fillId="8" borderId="0" xfId="0" applyFont="1" applyFill="1" applyBorder="1"/>
    <xf numFmtId="0" fontId="2" fillId="8" borderId="22" xfId="0" applyFont="1" applyFill="1" applyBorder="1"/>
    <xf numFmtId="0" fontId="0" fillId="8" borderId="22" xfId="0" applyFill="1" applyBorder="1"/>
    <xf numFmtId="171" fontId="1" fillId="8" borderId="15" xfId="7" applyNumberFormat="1" applyFill="1">
      <alignment vertical="center"/>
    </xf>
    <xf numFmtId="0" fontId="0" fillId="8" borderId="19" xfId="0" applyFill="1" applyBorder="1"/>
    <xf numFmtId="2" fontId="1" fillId="8" borderId="17" xfId="6" applyNumberFormat="1" applyFill="1">
      <protection locked="0"/>
    </xf>
    <xf numFmtId="0" fontId="3" fillId="8" borderId="1" xfId="1" applyFill="1">
      <alignment horizontal="center" vertical="center"/>
    </xf>
    <xf numFmtId="0" fontId="0" fillId="8" borderId="0" xfId="0" quotePrefix="1" applyFill="1"/>
    <xf numFmtId="0" fontId="13" fillId="8" borderId="0" xfId="0" applyFont="1" applyFill="1" applyBorder="1"/>
    <xf numFmtId="171" fontId="2" fillId="8" borderId="11" xfId="7" applyNumberFormat="1" applyFont="1" applyFill="1" applyBorder="1" applyAlignment="1">
      <alignment horizontal="right"/>
    </xf>
    <xf numFmtId="171" fontId="2" fillId="8" borderId="15" xfId="7" applyNumberFormat="1" applyFont="1" applyFill="1" applyBorder="1" applyAlignment="1">
      <alignment horizontal="right"/>
    </xf>
    <xf numFmtId="0" fontId="5" fillId="8" borderId="0" xfId="0" quotePrefix="1" applyFont="1" applyFill="1" applyBorder="1"/>
    <xf numFmtId="0" fontId="13" fillId="8" borderId="22" xfId="0" applyFont="1" applyFill="1" applyBorder="1"/>
    <xf numFmtId="168" fontId="2" fillId="8" borderId="32" xfId="6" applyNumberFormat="1" applyFont="1" applyFill="1" applyBorder="1" applyAlignment="1">
      <alignment horizontal="right"/>
      <protection locked="0"/>
    </xf>
    <xf numFmtId="0" fontId="2" fillId="8" borderId="19" xfId="0" applyFont="1" applyFill="1" applyBorder="1"/>
    <xf numFmtId="0" fontId="13" fillId="8" borderId="19" xfId="0" applyFont="1" applyFill="1" applyBorder="1"/>
    <xf numFmtId="0" fontId="4" fillId="8" borderId="0" xfId="0" applyFont="1" applyFill="1"/>
    <xf numFmtId="0" fontId="0" fillId="8" borderId="8" xfId="0" applyFill="1" applyBorder="1"/>
    <xf numFmtId="14" fontId="0" fillId="8" borderId="0" xfId="0" quotePrefix="1" applyNumberFormat="1" applyFill="1" applyBorder="1"/>
    <xf numFmtId="176" fontId="1" fillId="8" borderId="15" xfId="7" applyNumberFormat="1" applyFill="1">
      <alignment vertical="center"/>
    </xf>
    <xf numFmtId="0" fontId="0" fillId="8" borderId="0" xfId="0" quotePrefix="1" applyFill="1" applyAlignment="1">
      <alignment horizontal="right"/>
    </xf>
    <xf numFmtId="170" fontId="1" fillId="8" borderId="15" xfId="7" applyNumberFormat="1" applyFill="1">
      <alignment vertical="center"/>
    </xf>
    <xf numFmtId="176" fontId="1" fillId="8" borderId="15" xfId="7" applyNumberFormat="1" applyFill="1" applyAlignment="1">
      <alignment horizontal="center"/>
    </xf>
    <xf numFmtId="167" fontId="2" fillId="8" borderId="0" xfId="3" applyFont="1" applyFill="1" applyBorder="1">
      <alignment horizontal="left"/>
    </xf>
    <xf numFmtId="2" fontId="2" fillId="8" borderId="0" xfId="0" applyNumberFormat="1" applyFont="1" applyFill="1"/>
    <xf numFmtId="0" fontId="27" fillId="8" borderId="0" xfId="0" applyFont="1" applyFill="1"/>
    <xf numFmtId="0" fontId="0" fillId="8" borderId="0" xfId="0" applyFill="1" applyAlignment="1">
      <alignment horizontal="right"/>
    </xf>
    <xf numFmtId="0" fontId="0" fillId="10" borderId="0" xfId="0" applyFill="1" applyBorder="1"/>
    <xf numFmtId="0" fontId="2" fillId="10" borderId="0" xfId="0" applyFont="1" applyFill="1"/>
    <xf numFmtId="0" fontId="0" fillId="10" borderId="0" xfId="0" applyFill="1"/>
    <xf numFmtId="171" fontId="1" fillId="10" borderId="15" xfId="8" applyNumberFormat="1" applyFill="1">
      <alignment vertical="center"/>
    </xf>
    <xf numFmtId="169" fontId="1" fillId="10" borderId="15" xfId="4" applyFill="1">
      <alignment horizontal="center"/>
    </xf>
    <xf numFmtId="0" fontId="2" fillId="10" borderId="0" xfId="0" applyFont="1" applyFill="1" applyBorder="1"/>
    <xf numFmtId="170" fontId="1" fillId="0" borderId="0" xfId="5" applyBorder="1"/>
    <xf numFmtId="0" fontId="0" fillId="0" borderId="0" xfId="0" applyAlignment="1">
      <alignment horizontal="center"/>
    </xf>
    <xf numFmtId="168" fontId="2" fillId="0" borderId="17" xfId="19" applyFill="1">
      <alignment horizontal="center"/>
      <protection locked="0"/>
    </xf>
    <xf numFmtId="9" fontId="2" fillId="8" borderId="18" xfId="3" applyNumberFormat="1" applyFont="1" applyFill="1" applyBorder="1" applyAlignment="1">
      <alignment horizontal="left" wrapText="1"/>
    </xf>
    <xf numFmtId="170" fontId="1" fillId="8" borderId="17" xfId="6" applyFill="1" applyBorder="1">
      <protection locked="0"/>
    </xf>
    <xf numFmtId="0" fontId="2" fillId="8" borderId="0" xfId="0" applyFont="1" applyFill="1"/>
    <xf numFmtId="0" fontId="3" fillId="7" borderId="1" xfId="1" applyFill="1">
      <alignment horizontal="center" vertical="center"/>
    </xf>
    <xf numFmtId="170" fontId="1" fillId="7" borderId="17" xfId="6" applyFill="1" applyBorder="1">
      <protection locked="0"/>
    </xf>
    <xf numFmtId="9" fontId="2" fillId="7" borderId="18" xfId="3" applyNumberFormat="1" applyFont="1" applyFill="1" applyBorder="1" applyAlignment="1">
      <alignment horizontal="left" wrapText="1"/>
    </xf>
    <xf numFmtId="14" fontId="2" fillId="7" borderId="0" xfId="0" quotePrefix="1" applyNumberFormat="1" applyFont="1" applyFill="1" applyBorder="1" applyAlignment="1">
      <alignment horizontal="left" vertical="top"/>
    </xf>
    <xf numFmtId="14" fontId="13" fillId="9" borderId="0" xfId="0" quotePrefix="1" applyNumberFormat="1" applyFont="1" applyFill="1" applyBorder="1" applyAlignment="1">
      <alignment horizontal="left" vertical="top"/>
    </xf>
    <xf numFmtId="0" fontId="13" fillId="9" borderId="0" xfId="0" quotePrefix="1" applyFont="1" applyFill="1" applyBorder="1" applyAlignment="1">
      <alignment horizontal="left" vertical="top"/>
    </xf>
    <xf numFmtId="0" fontId="2" fillId="8" borderId="0" xfId="0" quotePrefix="1" applyFont="1" applyFill="1" applyBorder="1" applyAlignment="1">
      <alignment horizontal="left" vertical="top"/>
    </xf>
    <xf numFmtId="0" fontId="2" fillId="8" borderId="11" xfId="0" applyFont="1" applyFill="1" applyBorder="1"/>
    <xf numFmtId="0" fontId="2" fillId="0" borderId="0" xfId="0" applyFont="1" applyBorder="1" applyAlignment="1">
      <alignment wrapText="1"/>
    </xf>
    <xf numFmtId="0" fontId="0" fillId="0" borderId="0" xfId="0"/>
    <xf numFmtId="0" fontId="2" fillId="7" borderId="14" xfId="0" applyFont="1" applyFill="1" applyBorder="1" applyAlignment="1">
      <alignment vertical="top" wrapText="1"/>
    </xf>
    <xf numFmtId="0" fontId="2" fillId="7" borderId="11" xfId="0" applyFont="1" applyFill="1" applyBorder="1" applyAlignment="1">
      <alignment vertical="top" wrapText="1"/>
    </xf>
    <xf numFmtId="167" fontId="4" fillId="0" borderId="0" xfId="3" applyFont="1" applyBorder="1" applyAlignment="1">
      <alignment horizontal="left" wrapText="1"/>
    </xf>
    <xf numFmtId="167" fontId="9" fillId="0" borderId="13" xfId="3" applyFont="1" applyBorder="1" applyAlignment="1">
      <alignment horizontal="left" wrapText="1"/>
    </xf>
    <xf numFmtId="167" fontId="9" fillId="0" borderId="0" xfId="3" applyFont="1" applyBorder="1" applyAlignment="1">
      <alignment horizontal="left" wrapText="1"/>
    </xf>
    <xf numFmtId="167" fontId="4" fillId="0" borderId="8" xfId="3" applyFont="1" applyBorder="1" applyAlignment="1">
      <alignment horizontal="left" wrapText="1"/>
    </xf>
    <xf numFmtId="167" fontId="4" fillId="0" borderId="24" xfId="3" applyFont="1" applyBorder="1" applyAlignment="1">
      <alignment horizontal="left" wrapText="1"/>
    </xf>
    <xf numFmtId="167" fontId="2" fillId="0" borderId="18" xfId="3" applyFont="1" applyBorder="1" applyAlignment="1">
      <alignment horizontal="left" wrapText="1"/>
    </xf>
    <xf numFmtId="167" fontId="2" fillId="7" borderId="18" xfId="3" applyFont="1" applyFill="1" applyBorder="1" applyAlignment="1">
      <alignment horizontal="left" wrapText="1"/>
    </xf>
    <xf numFmtId="167" fontId="2" fillId="0" borderId="18" xfId="3" quotePrefix="1" applyFont="1" applyBorder="1" applyAlignment="1">
      <alignment horizontal="left" wrapText="1"/>
    </xf>
    <xf numFmtId="0" fontId="10" fillId="8" borderId="0" xfId="0" quotePrefix="1" applyNumberFormat="1" applyFont="1" applyFill="1" applyBorder="1" applyAlignment="1">
      <alignment horizontal="left" vertical="top" wrapText="1"/>
    </xf>
    <xf numFmtId="0" fontId="2" fillId="8" borderId="0" xfId="0" quotePrefix="1" applyNumberFormat="1" applyFont="1" applyFill="1" applyBorder="1" applyAlignment="1">
      <alignment vertical="top"/>
    </xf>
    <xf numFmtId="0" fontId="2" fillId="0" borderId="5" xfId="0" applyFont="1" applyBorder="1"/>
    <xf numFmtId="0" fontId="0" fillId="0" borderId="9" xfId="0" applyBorder="1"/>
    <xf numFmtId="167" fontId="2" fillId="0" borderId="8" xfId="24" applyFont="1" applyBorder="1">
      <alignment horizontal="left"/>
    </xf>
    <xf numFmtId="171" fontId="1" fillId="0" borderId="0" xfId="8" applyNumberFormat="1" applyBorder="1">
      <alignment vertical="center"/>
    </xf>
    <xf numFmtId="167" fontId="4" fillId="0" borderId="8" xfId="24" applyFont="1" applyBorder="1">
      <alignment horizontal="left"/>
    </xf>
    <xf numFmtId="167" fontId="4" fillId="0" borderId="0" xfId="24" applyFont="1" applyBorder="1">
      <alignment horizontal="left"/>
    </xf>
    <xf numFmtId="167" fontId="9" fillId="0" borderId="13" xfId="24" applyFont="1" applyBorder="1">
      <alignment horizontal="left"/>
    </xf>
    <xf numFmtId="167" fontId="9" fillId="0" borderId="13" xfId="24" quotePrefix="1" applyFont="1" applyBorder="1">
      <alignment horizontal="left"/>
    </xf>
    <xf numFmtId="167" fontId="4" fillId="0" borderId="13" xfId="24" applyFont="1" applyBorder="1">
      <alignment horizontal="left"/>
    </xf>
    <xf numFmtId="167" fontId="11" fillId="0" borderId="0" xfId="24" applyFont="1" applyBorder="1">
      <alignment horizontal="left"/>
    </xf>
    <xf numFmtId="167" fontId="2" fillId="0" borderId="9" xfId="24" quotePrefix="1" applyFont="1" applyBorder="1">
      <alignment horizontal="left"/>
    </xf>
    <xf numFmtId="167" fontId="2" fillId="0" borderId="11" xfId="24" quotePrefix="1" applyFont="1" applyBorder="1">
      <alignment horizontal="left"/>
    </xf>
    <xf numFmtId="167" fontId="2" fillId="0" borderId="14" xfId="24" quotePrefix="1" applyFont="1" applyBorder="1">
      <alignment horizontal="left"/>
    </xf>
    <xf numFmtId="169" fontId="1" fillId="3" borderId="5" xfId="4" applyBorder="1">
      <alignment horizontal="center"/>
    </xf>
    <xf numFmtId="0" fontId="1" fillId="0" borderId="0" xfId="2" applyBorder="1">
      <alignment horizontal="center" vertical="center"/>
    </xf>
    <xf numFmtId="167" fontId="47" fillId="9" borderId="10" xfId="3" applyFont="1" applyFill="1" applyBorder="1" applyAlignment="1">
      <alignment horizontal="left" wrapText="1"/>
    </xf>
    <xf numFmtId="0" fontId="2" fillId="0" borderId="0" xfId="0" applyFont="1" applyFill="1" applyBorder="1" applyAlignment="1">
      <alignment wrapText="1"/>
    </xf>
    <xf numFmtId="0" fontId="0" fillId="0" borderId="0" xfId="0" applyFill="1"/>
    <xf numFmtId="0" fontId="9" fillId="9" borderId="0" xfId="0" applyFont="1" applyFill="1" applyBorder="1"/>
    <xf numFmtId="0" fontId="2" fillId="9" borderId="0" xfId="0" applyFont="1" applyFill="1"/>
    <xf numFmtId="0" fontId="3" fillId="8" borderId="1" xfId="1" applyFill="1" applyAlignment="1">
      <alignment horizontal="center" vertical="center"/>
    </xf>
    <xf numFmtId="0" fontId="2" fillId="8" borderId="0" xfId="0" quotePrefix="1" applyFont="1" applyFill="1"/>
    <xf numFmtId="0" fontId="2" fillId="8" borderId="0" xfId="0" quotePrefix="1" applyNumberFormat="1" applyFont="1" applyFill="1" applyBorder="1" applyAlignment="1">
      <alignment horizontal="left" wrapText="1"/>
    </xf>
    <xf numFmtId="0" fontId="2" fillId="7" borderId="0" xfId="0" quotePrefix="1" applyNumberFormat="1" applyFont="1" applyFill="1" applyBorder="1" applyAlignment="1">
      <alignment horizontal="left" wrapText="1"/>
    </xf>
    <xf numFmtId="170" fontId="1" fillId="9" borderId="16" xfId="5" applyFill="1"/>
    <xf numFmtId="0" fontId="2" fillId="8" borderId="0" xfId="0" quotePrefix="1" applyNumberFormat="1" applyFont="1" applyFill="1" applyBorder="1" applyAlignment="1">
      <alignment horizontal="left"/>
    </xf>
    <xf numFmtId="14" fontId="2" fillId="7" borderId="0" xfId="0" quotePrefix="1" applyNumberFormat="1" applyFont="1" applyFill="1" applyBorder="1" applyAlignment="1">
      <alignment wrapText="1"/>
    </xf>
    <xf numFmtId="0" fontId="2" fillId="8" borderId="0" xfId="0" applyNumberFormat="1" applyFont="1" applyFill="1" applyBorder="1" applyAlignment="1"/>
    <xf numFmtId="9" fontId="2" fillId="9" borderId="18" xfId="3" applyNumberFormat="1" applyFont="1" applyFill="1" applyBorder="1" applyAlignment="1">
      <alignment horizontal="left" wrapText="1"/>
    </xf>
    <xf numFmtId="167" fontId="2" fillId="0" borderId="8" xfId="3" quotePrefix="1" applyFont="1" applyFill="1" applyBorder="1">
      <alignment horizontal="left"/>
    </xf>
    <xf numFmtId="167" fontId="2" fillId="0" borderId="8" xfId="3" applyFont="1" applyFill="1" applyBorder="1" applyAlignment="1">
      <alignment horizontal="left" wrapText="1"/>
    </xf>
    <xf numFmtId="0" fontId="0" fillId="0" borderId="8" xfId="0" applyFill="1" applyBorder="1"/>
    <xf numFmtId="0" fontId="6" fillId="0" borderId="0" xfId="0" applyFont="1" applyFill="1" applyBorder="1"/>
    <xf numFmtId="0" fontId="5" fillId="0" borderId="0" xfId="0" applyFont="1" applyFill="1" applyBorder="1"/>
    <xf numFmtId="2" fontId="2" fillId="0" borderId="0" xfId="0" applyNumberFormat="1" applyFont="1" applyFill="1" applyAlignment="1">
      <alignment wrapText="1"/>
    </xf>
    <xf numFmtId="0" fontId="7" fillId="0" borderId="0" xfId="0" applyFont="1" applyFill="1" applyAlignment="1">
      <alignment horizontal="right"/>
    </xf>
    <xf numFmtId="0" fontId="6" fillId="0" borderId="0" xfId="0" applyFont="1" applyFill="1"/>
    <xf numFmtId="0" fontId="0" fillId="0" borderId="0" xfId="0" applyFill="1" applyAlignment="1">
      <alignment wrapText="1"/>
    </xf>
    <xf numFmtId="0" fontId="2" fillId="0" borderId="0" xfId="0" applyFont="1" applyFill="1" applyAlignment="1">
      <alignment wrapText="1"/>
    </xf>
    <xf numFmtId="168" fontId="2" fillId="0" borderId="0" xfId="0" applyNumberFormat="1" applyFont="1" applyFill="1"/>
    <xf numFmtId="0" fontId="2" fillId="0" borderId="14" xfId="0" applyFont="1" applyFill="1" applyBorder="1" applyAlignment="1">
      <alignment wrapText="1"/>
    </xf>
    <xf numFmtId="0" fontId="2" fillId="0" borderId="13" xfId="0" applyFont="1" applyFill="1" applyBorder="1" applyAlignment="1">
      <alignment horizontal="right"/>
    </xf>
    <xf numFmtId="167" fontId="2" fillId="0" borderId="12" xfId="0" applyNumberFormat="1" applyFont="1" applyFill="1" applyBorder="1" applyAlignment="1">
      <alignment horizontal="left"/>
    </xf>
    <xf numFmtId="0" fontId="2" fillId="0" borderId="11" xfId="0" applyFont="1" applyFill="1" applyBorder="1" applyAlignment="1">
      <alignment wrapText="1"/>
    </xf>
    <xf numFmtId="0" fontId="2" fillId="0" borderId="10" xfId="0" applyFont="1" applyFill="1" applyBorder="1" applyAlignment="1">
      <alignment horizontal="left"/>
    </xf>
    <xf numFmtId="166" fontId="2" fillId="0" borderId="10" xfId="0" applyNumberFormat="1" applyFont="1" applyFill="1" applyBorder="1" applyAlignment="1">
      <alignment horizontal="left"/>
    </xf>
    <xf numFmtId="165" fontId="5" fillId="0" borderId="11" xfId="0" applyNumberFormat="1" applyFont="1" applyFill="1" applyBorder="1" applyAlignment="1">
      <alignment horizontal="left" wrapText="1"/>
    </xf>
    <xf numFmtId="2" fontId="2" fillId="0" borderId="10" xfId="0" applyNumberFormat="1" applyFont="1" applyFill="1" applyBorder="1" applyAlignment="1">
      <alignment horizontal="left"/>
    </xf>
    <xf numFmtId="0" fontId="2" fillId="0" borderId="9" xfId="0" applyFont="1" applyFill="1" applyBorder="1" applyAlignment="1">
      <alignment wrapText="1"/>
    </xf>
    <xf numFmtId="0" fontId="2" fillId="0" borderId="0" xfId="0" applyFont="1" applyFill="1" applyBorder="1" applyAlignment="1">
      <alignment horizontal="right"/>
    </xf>
    <xf numFmtId="0" fontId="1" fillId="0" borderId="6" xfId="2" applyFill="1" applyBorder="1">
      <alignment horizontal="center" vertical="center"/>
    </xf>
    <xf numFmtId="0" fontId="2" fillId="0" borderId="4" xfId="0" applyFont="1" applyFill="1" applyBorder="1"/>
    <xf numFmtId="0" fontId="3" fillId="0" borderId="1" xfId="1" applyFill="1">
      <alignment horizontal="center" vertical="center"/>
    </xf>
    <xf numFmtId="0" fontId="2" fillId="0" borderId="2" xfId="0" applyFont="1" applyFill="1" applyBorder="1"/>
    <xf numFmtId="9" fontId="2" fillId="7" borderId="0" xfId="3" applyNumberFormat="1" applyFont="1" applyFill="1" applyBorder="1" applyAlignment="1">
      <alignment horizontal="left" wrapText="1" indent="1"/>
    </xf>
    <xf numFmtId="0" fontId="2" fillId="7" borderId="14" xfId="25" applyFont="1" applyFill="1" applyBorder="1" applyAlignment="1">
      <alignment vertical="top" wrapText="1"/>
    </xf>
    <xf numFmtId="0" fontId="2" fillId="7" borderId="13" xfId="20" applyFont="1" applyFill="1" applyBorder="1" applyAlignment="1">
      <alignment vertical="top"/>
    </xf>
    <xf numFmtId="0" fontId="2" fillId="7" borderId="11" xfId="25" applyFont="1" applyFill="1" applyBorder="1" applyAlignment="1">
      <alignment vertical="top" wrapText="1"/>
    </xf>
    <xf numFmtId="0" fontId="2" fillId="7" borderId="0" xfId="20" applyFont="1" applyFill="1" applyBorder="1" applyAlignment="1">
      <alignment vertical="top"/>
    </xf>
    <xf numFmtId="9" fontId="2" fillId="0" borderId="25" xfId="20" quotePrefix="1" applyNumberFormat="1" applyFont="1" applyBorder="1" applyAlignment="1">
      <alignment horizontal="left" vertical="top"/>
    </xf>
    <xf numFmtId="9" fontId="2" fillId="7" borderId="25" xfId="20" quotePrefix="1" applyNumberFormat="1" applyFont="1" applyFill="1" applyBorder="1" applyAlignment="1">
      <alignment horizontal="left" vertical="top"/>
    </xf>
    <xf numFmtId="9" fontId="2" fillId="0" borderId="25" xfId="20" applyNumberFormat="1" applyFont="1" applyBorder="1" applyAlignment="1">
      <alignment horizontal="left" vertical="top" wrapText="1"/>
    </xf>
    <xf numFmtId="9" fontId="2" fillId="0" borderId="25" xfId="20" applyNumberFormat="1" applyFont="1" applyBorder="1" applyAlignment="1">
      <alignment horizontal="left" vertical="top"/>
    </xf>
    <xf numFmtId="0" fontId="1" fillId="8" borderId="5" xfId="2" applyFill="1" applyBorder="1">
      <alignment horizontal="center" vertical="center"/>
    </xf>
    <xf numFmtId="164" fontId="5" fillId="0" borderId="7" xfId="20" quotePrefix="1" applyNumberFormat="1" applyFont="1" applyFill="1" applyBorder="1" applyAlignment="1">
      <alignment horizontal="left"/>
    </xf>
    <xf numFmtId="164" fontId="5" fillId="0" borderId="0" xfId="20" quotePrefix="1" applyNumberFormat="1" applyFont="1" applyFill="1" applyAlignment="1">
      <alignment horizontal="left"/>
    </xf>
    <xf numFmtId="164" fontId="5" fillId="0" borderId="0" xfId="20" applyNumberFormat="1" applyFont="1" applyFill="1" applyAlignment="1">
      <alignment horizontal="left"/>
    </xf>
    <xf numFmtId="0" fontId="2" fillId="7" borderId="0" xfId="20" applyFont="1" applyFill="1" applyBorder="1" applyAlignment="1">
      <alignment vertical="top" wrapText="1"/>
    </xf>
    <xf numFmtId="0" fontId="54" fillId="8" borderId="12" xfId="0" applyFont="1" applyFill="1" applyBorder="1" applyAlignment="1">
      <alignment vertical="top" wrapText="1"/>
    </xf>
    <xf numFmtId="0" fontId="54" fillId="8" borderId="7" xfId="0" applyFont="1" applyFill="1" applyBorder="1" applyAlignment="1">
      <alignment vertical="top" wrapText="1"/>
    </xf>
    <xf numFmtId="0" fontId="2" fillId="7" borderId="0" xfId="0" applyFont="1" applyFill="1" applyAlignment="1">
      <alignment wrapText="1"/>
    </xf>
    <xf numFmtId="0" fontId="54" fillId="8" borderId="25" xfId="0" applyFont="1" applyFill="1" applyBorder="1" applyAlignment="1">
      <alignment vertical="top"/>
    </xf>
    <xf numFmtId="0" fontId="54" fillId="8" borderId="5" xfId="0" applyFont="1" applyFill="1" applyBorder="1" applyAlignment="1">
      <alignment vertical="top" wrapText="1"/>
    </xf>
    <xf numFmtId="0" fontId="2" fillId="7" borderId="11" xfId="25" applyFont="1" applyFill="1" applyBorder="1" applyAlignment="1">
      <alignment vertical="top"/>
    </xf>
    <xf numFmtId="0" fontId="2" fillId="7" borderId="11" xfId="20" applyFont="1" applyFill="1" applyBorder="1"/>
    <xf numFmtId="0" fontId="2" fillId="9" borderId="11" xfId="20" applyFont="1" applyFill="1" applyBorder="1" applyAlignment="1">
      <alignment vertical="top"/>
    </xf>
    <xf numFmtId="0" fontId="2" fillId="9" borderId="0" xfId="20" applyFont="1" applyFill="1" applyBorder="1" applyAlignment="1">
      <alignment vertical="top"/>
    </xf>
    <xf numFmtId="0" fontId="2" fillId="9" borderId="10" xfId="20" applyFont="1" applyFill="1" applyBorder="1" applyAlignment="1">
      <alignment vertical="top"/>
    </xf>
    <xf numFmtId="0" fontId="2" fillId="9" borderId="9" xfId="20" applyFont="1" applyFill="1" applyBorder="1" applyAlignment="1">
      <alignment vertical="top"/>
    </xf>
    <xf numFmtId="0" fontId="2" fillId="9" borderId="8" xfId="20" applyFont="1" applyFill="1" applyBorder="1" applyAlignment="1">
      <alignment vertical="top"/>
    </xf>
    <xf numFmtId="0" fontId="2" fillId="9" borderId="8" xfId="20" applyFont="1" applyFill="1" applyBorder="1" applyAlignment="1">
      <alignment vertical="top" wrapText="1"/>
    </xf>
    <xf numFmtId="0" fontId="2" fillId="9" borderId="7" xfId="20" applyFont="1" applyFill="1" applyBorder="1" applyAlignment="1">
      <alignment vertical="top" wrapText="1"/>
    </xf>
    <xf numFmtId="0" fontId="2" fillId="7" borderId="10" xfId="20" applyFont="1" applyFill="1" applyBorder="1" applyAlignment="1">
      <alignment vertical="top" wrapText="1"/>
    </xf>
    <xf numFmtId="0" fontId="2" fillId="0" borderId="14" xfId="20" applyFont="1" applyFill="1" applyBorder="1"/>
    <xf numFmtId="0" fontId="2" fillId="0" borderId="13" xfId="20" applyFont="1" applyFill="1" applyBorder="1" applyAlignment="1">
      <alignment vertical="top"/>
    </xf>
    <xf numFmtId="0" fontId="2" fillId="0" borderId="12" xfId="20" applyFont="1" applyFill="1" applyBorder="1" applyAlignment="1">
      <alignment vertical="top"/>
    </xf>
    <xf numFmtId="170" fontId="1" fillId="8" borderId="17" xfId="17" applyFill="1"/>
    <xf numFmtId="0" fontId="2" fillId="8" borderId="22" xfId="0" applyFont="1" applyFill="1" applyBorder="1" applyAlignment="1"/>
    <xf numFmtId="9" fontId="2" fillId="0" borderId="18" xfId="3" applyNumberFormat="1" applyFont="1" applyFill="1" applyBorder="1" applyAlignment="1">
      <alignment horizontal="left" indent="1"/>
    </xf>
    <xf numFmtId="170" fontId="1" fillId="0" borderId="16" xfId="5" applyFill="1" applyBorder="1"/>
    <xf numFmtId="0" fontId="6" fillId="0" borderId="0" xfId="20" applyFont="1" applyFill="1"/>
    <xf numFmtId="0" fontId="2" fillId="0" borderId="0" xfId="20" applyFont="1" applyFill="1"/>
    <xf numFmtId="167" fontId="2" fillId="0" borderId="18" xfId="3" quotePrefix="1" applyFont="1" applyFill="1" applyBorder="1">
      <alignment horizontal="left"/>
    </xf>
    <xf numFmtId="167" fontId="4" fillId="0" borderId="0" xfId="3" applyFont="1" applyFill="1" applyBorder="1">
      <alignment horizontal="left"/>
    </xf>
    <xf numFmtId="9" fontId="2" fillId="0" borderId="18" xfId="3" applyNumberFormat="1" applyFont="1" applyFill="1" applyBorder="1">
      <alignment horizontal="left"/>
    </xf>
    <xf numFmtId="167" fontId="10" fillId="0" borderId="0" xfId="3" applyFont="1" applyFill="1" applyBorder="1">
      <alignment horizontal="left"/>
    </xf>
    <xf numFmtId="0" fontId="2" fillId="0" borderId="14" xfId="25" applyFont="1" applyFill="1" applyBorder="1" applyAlignment="1">
      <alignment vertical="top" wrapText="1"/>
    </xf>
    <xf numFmtId="0" fontId="2" fillId="0" borderId="11" xfId="25" applyFont="1" applyFill="1" applyBorder="1" applyAlignment="1">
      <alignment vertical="top" wrapText="1"/>
    </xf>
    <xf numFmtId="0" fontId="2" fillId="0" borderId="11" xfId="20" applyFont="1" applyFill="1" applyBorder="1"/>
    <xf numFmtId="0" fontId="1" fillId="0" borderId="5" xfId="2" applyFill="1" applyBorder="1">
      <alignment horizontal="center" vertical="center"/>
    </xf>
    <xf numFmtId="0" fontId="1" fillId="0" borderId="8" xfId="20" applyFill="1" applyBorder="1"/>
    <xf numFmtId="0" fontId="2" fillId="0" borderId="0" xfId="20" applyFont="1" applyFill="1" applyBorder="1" applyAlignment="1">
      <alignment vertical="top"/>
    </xf>
    <xf numFmtId="0" fontId="2" fillId="0" borderId="8" xfId="20" applyFont="1" applyFill="1" applyBorder="1" applyAlignment="1">
      <alignment vertical="top"/>
    </xf>
    <xf numFmtId="9" fontId="2" fillId="0" borderId="25" xfId="20" quotePrefix="1" applyNumberFormat="1" applyFont="1" applyFill="1" applyBorder="1" applyAlignment="1">
      <alignment horizontal="left" vertical="top"/>
    </xf>
    <xf numFmtId="0" fontId="2" fillId="0" borderId="11" xfId="25" applyFont="1" applyFill="1" applyBorder="1" applyAlignment="1">
      <alignment vertical="top"/>
    </xf>
    <xf numFmtId="0" fontId="2" fillId="0" borderId="0" xfId="20" applyFont="1" applyFill="1" applyBorder="1" applyAlignment="1">
      <alignment vertical="top" wrapText="1"/>
    </xf>
    <xf numFmtId="0" fontId="2" fillId="0" borderId="10" xfId="20" applyFont="1" applyFill="1" applyBorder="1" applyAlignment="1">
      <alignment vertical="top" wrapText="1"/>
    </xf>
    <xf numFmtId="0" fontId="2" fillId="0" borderId="11" xfId="20" applyFont="1" applyFill="1" applyBorder="1" applyAlignment="1">
      <alignment vertical="top"/>
    </xf>
    <xf numFmtId="0" fontId="2" fillId="0" borderId="10" xfId="20" applyFont="1" applyFill="1" applyBorder="1" applyAlignment="1">
      <alignment vertical="top"/>
    </xf>
    <xf numFmtId="0" fontId="2" fillId="0" borderId="9" xfId="20" applyFont="1" applyFill="1" applyBorder="1" applyAlignment="1">
      <alignment vertical="top"/>
    </xf>
    <xf numFmtId="0" fontId="2" fillId="0" borderId="8" xfId="20" applyFont="1" applyFill="1" applyBorder="1" applyAlignment="1">
      <alignment vertical="top" wrapText="1"/>
    </xf>
    <xf numFmtId="0" fontId="2" fillId="0" borderId="7" xfId="20" applyFont="1" applyFill="1" applyBorder="1" applyAlignment="1">
      <alignment vertical="top" wrapText="1"/>
    </xf>
    <xf numFmtId="9" fontId="2" fillId="0" borderId="25" xfId="20" applyNumberFormat="1" applyFont="1" applyFill="1" applyBorder="1" applyAlignment="1">
      <alignment horizontal="left" vertical="top" wrapText="1"/>
    </xf>
    <xf numFmtId="9" fontId="2" fillId="0" borderId="25" xfId="20" applyNumberFormat="1" applyFont="1" applyFill="1" applyBorder="1" applyAlignment="1">
      <alignment horizontal="left" vertical="top"/>
    </xf>
    <xf numFmtId="167" fontId="9" fillId="0" borderId="0" xfId="3" applyFont="1" applyFill="1" applyBorder="1">
      <alignment horizontal="left"/>
    </xf>
    <xf numFmtId="0" fontId="2" fillId="0" borderId="0" xfId="20" applyFont="1" applyFill="1" applyAlignment="1">
      <alignment horizontal="right" vertical="center"/>
    </xf>
    <xf numFmtId="0" fontId="11" fillId="0" borderId="6" xfId="20" applyFont="1" applyFill="1" applyBorder="1" applyAlignment="1">
      <alignment horizontal="center" vertical="center"/>
    </xf>
    <xf numFmtId="0" fontId="12" fillId="0" borderId="0" xfId="20" applyFont="1" applyFill="1" applyBorder="1"/>
    <xf numFmtId="0" fontId="11" fillId="0" borderId="6" xfId="20" applyFont="1" applyFill="1" applyBorder="1" applyAlignment="1" applyProtection="1">
      <alignment horizontal="center" vertical="center"/>
    </xf>
    <xf numFmtId="167" fontId="11" fillId="0" borderId="0" xfId="3" applyFont="1" applyFill="1" applyBorder="1">
      <alignment horizontal="left"/>
    </xf>
    <xf numFmtId="14" fontId="11" fillId="0" borderId="6" xfId="20" quotePrefix="1" applyNumberFormat="1" applyFont="1" applyFill="1" applyBorder="1" applyAlignment="1" applyProtection="1">
      <alignment horizontal="center" vertical="center"/>
    </xf>
    <xf numFmtId="0" fontId="1" fillId="0" borderId="0" xfId="20" applyFill="1" applyBorder="1"/>
    <xf numFmtId="167" fontId="4" fillId="0" borderId="13" xfId="3" applyFont="1" applyFill="1" applyBorder="1">
      <alignment horizontal="left"/>
    </xf>
    <xf numFmtId="0" fontId="2" fillId="0" borderId="8" xfId="20" applyFont="1" applyFill="1" applyBorder="1"/>
    <xf numFmtId="167" fontId="4" fillId="0" borderId="8" xfId="3" applyFont="1" applyFill="1" applyBorder="1">
      <alignment horizontal="left"/>
    </xf>
    <xf numFmtId="167" fontId="9" fillId="0" borderId="13" xfId="3" quotePrefix="1" applyFont="1" applyFill="1" applyBorder="1">
      <alignment horizontal="left"/>
    </xf>
    <xf numFmtId="167" fontId="9" fillId="0" borderId="13" xfId="3" applyFont="1" applyFill="1" applyBorder="1">
      <alignment horizontal="left"/>
    </xf>
    <xf numFmtId="0" fontId="1" fillId="0" borderId="25" xfId="20" applyFill="1" applyBorder="1"/>
    <xf numFmtId="0" fontId="2" fillId="0" borderId="25" xfId="20" applyFont="1" applyFill="1" applyBorder="1" applyAlignment="1">
      <alignment horizontal="left" vertical="top" wrapText="1"/>
    </xf>
    <xf numFmtId="0" fontId="2" fillId="0" borderId="14" xfId="20" applyFont="1" applyFill="1" applyBorder="1" applyAlignment="1">
      <alignment vertical="top" wrapText="1"/>
    </xf>
    <xf numFmtId="0" fontId="2" fillId="0" borderId="12" xfId="20" applyFont="1" applyFill="1" applyBorder="1" applyAlignment="1">
      <alignment vertical="top" wrapText="1"/>
    </xf>
    <xf numFmtId="0" fontId="2" fillId="0" borderId="25" xfId="20" applyFont="1" applyFill="1" applyBorder="1" applyAlignment="1">
      <alignment vertical="top" wrapText="1"/>
    </xf>
    <xf numFmtId="0" fontId="2" fillId="0" borderId="25" xfId="20" applyFont="1" applyFill="1" applyBorder="1" applyAlignment="1">
      <alignment vertical="top"/>
    </xf>
    <xf numFmtId="172" fontId="5" fillId="0" borderId="0" xfId="20" applyNumberFormat="1" applyFont="1" applyFill="1" applyBorder="1" applyAlignment="1">
      <alignment horizontal="left"/>
    </xf>
    <xf numFmtId="167" fontId="9" fillId="0" borderId="0" xfId="3" quotePrefix="1" applyFont="1" applyFill="1" applyBorder="1">
      <alignment horizontal="left"/>
    </xf>
    <xf numFmtId="0" fontId="1" fillId="0" borderId="15" xfId="20" applyFill="1" applyBorder="1"/>
    <xf numFmtId="0" fontId="2" fillId="0" borderId="15" xfId="20" applyFont="1" applyFill="1" applyBorder="1" applyAlignment="1">
      <alignment horizontal="left" vertical="top" wrapText="1"/>
    </xf>
    <xf numFmtId="0" fontId="2" fillId="0" borderId="11" xfId="20" applyFont="1" applyFill="1" applyBorder="1" applyAlignment="1">
      <alignment vertical="top" wrapText="1"/>
    </xf>
    <xf numFmtId="0" fontId="2" fillId="0" borderId="7" xfId="0" applyFont="1" applyFill="1" applyBorder="1" applyAlignment="1">
      <alignment vertical="top" wrapText="1"/>
    </xf>
    <xf numFmtId="0" fontId="2" fillId="0" borderId="15" xfId="20" applyFont="1" applyFill="1" applyBorder="1" applyAlignment="1">
      <alignment vertical="top" wrapText="1"/>
    </xf>
    <xf numFmtId="0" fontId="2" fillId="0" borderId="12" xfId="0" applyFont="1" applyFill="1" applyBorder="1" applyAlignment="1">
      <alignment vertical="top" wrapText="1"/>
    </xf>
    <xf numFmtId="0" fontId="2" fillId="0" borderId="10" xfId="0" applyFont="1" applyFill="1" applyBorder="1" applyAlignment="1">
      <alignment vertical="top" wrapText="1"/>
    </xf>
    <xf numFmtId="0" fontId="2" fillId="0" borderId="9" xfId="0" applyFont="1" applyFill="1" applyBorder="1" applyAlignment="1">
      <alignment vertical="top"/>
    </xf>
    <xf numFmtId="9" fontId="2" fillId="0" borderId="25" xfId="0" applyNumberFormat="1" applyFont="1" applyFill="1" applyBorder="1" applyAlignment="1">
      <alignment horizontal="left" vertical="top" wrapText="1"/>
    </xf>
    <xf numFmtId="0" fontId="2" fillId="0" borderId="0" xfId="20" applyFont="1" applyFill="1" applyBorder="1" applyAlignment="1">
      <alignment horizontal="center"/>
    </xf>
    <xf numFmtId="0" fontId="1" fillId="0" borderId="5" xfId="20" applyFill="1" applyBorder="1"/>
    <xf numFmtId="167" fontId="4" fillId="0" borderId="24" xfId="3" applyFont="1" applyFill="1" applyBorder="1">
      <alignment horizontal="left"/>
    </xf>
    <xf numFmtId="0" fontId="3" fillId="0" borderId="21" xfId="1" applyFill="1" applyBorder="1">
      <alignment horizontal="center" vertical="center"/>
    </xf>
    <xf numFmtId="167" fontId="47" fillId="0" borderId="33" xfId="3" applyFont="1" applyFill="1" applyBorder="1" applyAlignment="1">
      <alignment horizontal="left" wrapText="1"/>
    </xf>
    <xf numFmtId="0" fontId="6" fillId="0" borderId="11" xfId="20" applyFont="1" applyFill="1" applyBorder="1"/>
    <xf numFmtId="0" fontId="6" fillId="0" borderId="19" xfId="20" applyFont="1" applyFill="1" applyBorder="1"/>
    <xf numFmtId="167" fontId="2" fillId="0" borderId="18" xfId="3" applyFont="1" applyFill="1" applyBorder="1">
      <alignment horizontal="left"/>
    </xf>
    <xf numFmtId="0" fontId="6" fillId="0" borderId="0" xfId="25" applyFont="1" applyFill="1"/>
    <xf numFmtId="0" fontId="2" fillId="0" borderId="0" xfId="25" applyFont="1" applyFill="1"/>
    <xf numFmtId="167" fontId="47" fillId="0" borderId="33" xfId="3" applyFont="1" applyFill="1" applyBorder="1" applyAlignment="1">
      <alignment horizontal="left" vertical="top" wrapText="1"/>
    </xf>
    <xf numFmtId="0" fontId="6" fillId="0" borderId="0" xfId="20" applyFont="1" applyFill="1" applyBorder="1"/>
    <xf numFmtId="9" fontId="47" fillId="0" borderId="7" xfId="3" applyNumberFormat="1" applyFont="1" applyFill="1" applyBorder="1">
      <alignment horizontal="left"/>
    </xf>
    <xf numFmtId="167" fontId="2" fillId="0" borderId="8" xfId="3" applyFont="1" applyFill="1" applyBorder="1">
      <alignment horizontal="left"/>
    </xf>
    <xf numFmtId="2" fontId="2" fillId="0" borderId="0" xfId="20" applyNumberFormat="1" applyFont="1" applyFill="1"/>
    <xf numFmtId="168" fontId="2" fillId="0" borderId="0" xfId="20" applyNumberFormat="1" applyFont="1" applyFill="1"/>
    <xf numFmtId="0" fontId="2" fillId="0" borderId="13" xfId="20" applyFont="1" applyFill="1" applyBorder="1" applyAlignment="1">
      <alignment horizontal="right"/>
    </xf>
    <xf numFmtId="167" fontId="2" fillId="0" borderId="12" xfId="20" applyNumberFormat="1" applyFont="1" applyFill="1" applyBorder="1" applyAlignment="1">
      <alignment horizontal="left"/>
    </xf>
    <xf numFmtId="0" fontId="2" fillId="0" borderId="10" xfId="20" applyFont="1" applyFill="1" applyBorder="1" applyAlignment="1">
      <alignment horizontal="left"/>
    </xf>
    <xf numFmtId="166" fontId="2" fillId="0" borderId="10" xfId="20" applyNumberFormat="1" applyFont="1" applyFill="1" applyBorder="1" applyAlignment="1">
      <alignment horizontal="left"/>
    </xf>
    <xf numFmtId="165" fontId="5" fillId="0" borderId="11" xfId="20" applyNumberFormat="1" applyFont="1" applyFill="1" applyBorder="1" applyAlignment="1">
      <alignment horizontal="left"/>
    </xf>
    <xf numFmtId="2" fontId="2" fillId="0" borderId="10" xfId="20" applyNumberFormat="1" applyFont="1" applyFill="1" applyBorder="1" applyAlignment="1">
      <alignment horizontal="left"/>
    </xf>
    <xf numFmtId="0" fontId="2" fillId="0" borderId="9" xfId="20" applyFont="1" applyFill="1" applyBorder="1"/>
    <xf numFmtId="0" fontId="2" fillId="0" borderId="0" xfId="20" applyFont="1" applyFill="1" applyBorder="1" applyAlignment="1">
      <alignment horizontal="right"/>
    </xf>
    <xf numFmtId="0" fontId="4" fillId="0" borderId="3" xfId="20" applyFont="1" applyFill="1" applyBorder="1"/>
    <xf numFmtId="0" fontId="2" fillId="0" borderId="4" xfId="20" applyFont="1" applyFill="1" applyBorder="1"/>
    <xf numFmtId="0" fontId="2" fillId="0" borderId="2" xfId="20" applyFont="1" applyFill="1" applyBorder="1"/>
    <xf numFmtId="9" fontId="47" fillId="0" borderId="33" xfId="3" quotePrefix="1" applyNumberFormat="1" applyFont="1" applyFill="1" applyBorder="1" applyAlignment="1">
      <alignment horizontal="left" wrapText="1"/>
    </xf>
    <xf numFmtId="9" fontId="47" fillId="0" borderId="7" xfId="3" applyNumberFormat="1" applyFont="1" applyFill="1" applyBorder="1" applyAlignment="1">
      <alignment horizontal="left" wrapText="1"/>
    </xf>
    <xf numFmtId="167" fontId="4" fillId="0" borderId="2" xfId="3" applyFont="1" applyFill="1" applyBorder="1">
      <alignment horizontal="left"/>
    </xf>
    <xf numFmtId="167" fontId="47" fillId="0" borderId="7" xfId="3" applyFont="1" applyFill="1" applyBorder="1" applyAlignment="1">
      <alignment horizontal="left" wrapText="1"/>
    </xf>
    <xf numFmtId="9" fontId="2" fillId="0" borderId="18" xfId="3" quotePrefix="1" applyNumberFormat="1" applyFont="1" applyFill="1" applyBorder="1">
      <alignment horizontal="left"/>
    </xf>
    <xf numFmtId="167" fontId="2" fillId="0" borderId="18" xfId="3" applyFont="1" applyFill="1" applyBorder="1" applyAlignment="1">
      <alignment horizontal="left" wrapText="1"/>
    </xf>
    <xf numFmtId="167" fontId="2" fillId="0" borderId="10" xfId="3" applyFont="1" applyFill="1" applyBorder="1" applyAlignment="1">
      <alignment horizontal="left" wrapText="1"/>
    </xf>
    <xf numFmtId="167" fontId="2" fillId="0" borderId="18" xfId="3" quotePrefix="1" applyFont="1" applyFill="1" applyBorder="1" applyAlignment="1">
      <alignment horizontal="left" indent="1"/>
    </xf>
    <xf numFmtId="0" fontId="2" fillId="8" borderId="0" xfId="0" applyFont="1" applyFill="1" applyBorder="1" applyAlignment="1">
      <alignment vertical="center"/>
    </xf>
    <xf numFmtId="0" fontId="13" fillId="9" borderId="5" xfId="2" applyFont="1" applyFill="1" applyBorder="1">
      <alignment horizontal="center" vertical="center"/>
    </xf>
    <xf numFmtId="0" fontId="2" fillId="9" borderId="25" xfId="0" applyFont="1" applyFill="1" applyBorder="1" applyAlignment="1">
      <alignment vertical="top" wrapText="1"/>
    </xf>
    <xf numFmtId="0" fontId="2" fillId="9" borderId="15" xfId="0" applyFont="1" applyFill="1" applyBorder="1" applyAlignment="1">
      <alignment vertical="top" wrapText="1"/>
    </xf>
    <xf numFmtId="0" fontId="0" fillId="0" borderId="2" xfId="2" applyFont="1" applyBorder="1" applyAlignment="1">
      <alignment horizontal="center" vertical="center"/>
    </xf>
    <xf numFmtId="169" fontId="0" fillId="3" borderId="15" xfId="4" applyFont="1" applyBorder="1">
      <alignment horizontal="center"/>
    </xf>
    <xf numFmtId="0" fontId="3" fillId="9" borderId="1" xfId="1" applyFill="1">
      <alignment horizontal="center" vertical="center"/>
    </xf>
    <xf numFmtId="170" fontId="1" fillId="14" borderId="17" xfId="6" applyFill="1">
      <protection locked="0"/>
    </xf>
    <xf numFmtId="169" fontId="0" fillId="7" borderId="15" xfId="4" applyFont="1" applyFill="1" applyBorder="1">
      <alignment horizontal="center"/>
    </xf>
    <xf numFmtId="0" fontId="0" fillId="0" borderId="0" xfId="0"/>
    <xf numFmtId="0" fontId="2" fillId="8" borderId="25" xfId="0" applyFont="1" applyFill="1" applyBorder="1" applyAlignment="1">
      <alignment horizontal="center" vertical="top" wrapText="1"/>
    </xf>
    <xf numFmtId="0" fontId="3" fillId="0" borderId="22" xfId="1" applyFill="1" applyBorder="1">
      <alignment horizontal="center" vertical="center"/>
    </xf>
    <xf numFmtId="0" fontId="31" fillId="7" borderId="0" xfId="0" quotePrefix="1" applyNumberFormat="1" applyFont="1" applyFill="1" applyBorder="1" applyAlignment="1">
      <alignment wrapText="1"/>
    </xf>
    <xf numFmtId="167" fontId="9" fillId="0" borderId="0" xfId="11" applyFont="1" applyBorder="1">
      <alignment horizontal="left"/>
    </xf>
    <xf numFmtId="167" fontId="2" fillId="0" borderId="0" xfId="11" applyFont="1" applyBorder="1" applyAlignment="1">
      <alignment horizontal="right" vertical="center"/>
    </xf>
    <xf numFmtId="167" fontId="4" fillId="0" borderId="0" xfId="11" applyFont="1" applyBorder="1">
      <alignment horizontal="left"/>
    </xf>
    <xf numFmtId="167" fontId="35" fillId="0" borderId="0" xfId="11" applyFont="1" applyBorder="1">
      <alignment horizontal="left"/>
    </xf>
    <xf numFmtId="185" fontId="11" fillId="0" borderId="6" xfId="0" quotePrefix="1" applyNumberFormat="1" applyFont="1" applyBorder="1" applyAlignment="1" applyProtection="1">
      <alignment horizontal="center" vertical="center"/>
    </xf>
    <xf numFmtId="167" fontId="31" fillId="0" borderId="0" xfId="11" applyFont="1" applyBorder="1">
      <alignment horizontal="left"/>
    </xf>
    <xf numFmtId="167" fontId="5" fillId="0" borderId="0" xfId="11" applyFont="1" applyBorder="1">
      <alignment horizontal="left"/>
    </xf>
    <xf numFmtId="167" fontId="9" fillId="0" borderId="13" xfId="11" quotePrefix="1" applyFont="1" applyBorder="1">
      <alignment horizontal="left"/>
    </xf>
    <xf numFmtId="167" fontId="9" fillId="0" borderId="13" xfId="11" applyFont="1" applyBorder="1">
      <alignment horizontal="left"/>
    </xf>
    <xf numFmtId="0" fontId="0" fillId="0" borderId="14" xfId="0" applyBorder="1"/>
    <xf numFmtId="167" fontId="9" fillId="0" borderId="0" xfId="11" quotePrefix="1" applyFont="1" applyBorder="1">
      <alignment horizontal="left"/>
    </xf>
    <xf numFmtId="0" fontId="0" fillId="0" borderId="11" xfId="0" applyBorder="1"/>
    <xf numFmtId="0" fontId="0" fillId="0" borderId="25" xfId="0" applyBorder="1" applyAlignment="1">
      <alignment horizontal="left" vertical="top" wrapText="1" indent="1"/>
    </xf>
    <xf numFmtId="0" fontId="0" fillId="0" borderId="25" xfId="0" applyFill="1" applyBorder="1" applyAlignment="1">
      <alignment horizontal="left" vertical="top" wrapText="1" indent="1"/>
    </xf>
    <xf numFmtId="167" fontId="9" fillId="0" borderId="7" xfId="11" applyFont="1" applyBorder="1">
      <alignment horizontal="left"/>
    </xf>
    <xf numFmtId="167" fontId="2" fillId="0" borderId="13" xfId="11" quotePrefix="1" applyFont="1" applyBorder="1" applyAlignment="1">
      <alignment horizontal="left" vertical="top" wrapText="1" indent="1"/>
    </xf>
    <xf numFmtId="0" fontId="55" fillId="0" borderId="18" xfId="0" applyFont="1" applyBorder="1" applyAlignment="1">
      <alignment wrapText="1"/>
    </xf>
    <xf numFmtId="0" fontId="0" fillId="0" borderId="0" xfId="0" quotePrefix="1" applyAlignment="1">
      <alignment horizontal="left" indent="1"/>
    </xf>
    <xf numFmtId="0" fontId="15" fillId="0" borderId="34" xfId="0" applyFont="1" applyBorder="1"/>
    <xf numFmtId="0" fontId="0" fillId="0" borderId="34" xfId="0" applyFont="1" applyBorder="1" applyAlignment="1">
      <alignment horizontal="left" indent="1"/>
    </xf>
    <xf numFmtId="0" fontId="0" fillId="0" borderId="34" xfId="0" applyFont="1" applyBorder="1" applyAlignment="1">
      <alignment horizontal="left" indent="2"/>
    </xf>
    <xf numFmtId="0" fontId="0" fillId="0" borderId="34" xfId="0" applyFont="1" applyBorder="1" applyAlignment="1">
      <alignment horizontal="left" indent="3"/>
    </xf>
    <xf numFmtId="0" fontId="0" fillId="0" borderId="34" xfId="0" applyFont="1" applyFill="1" applyBorder="1" applyAlignment="1">
      <alignment horizontal="left" indent="2"/>
    </xf>
    <xf numFmtId="0" fontId="0" fillId="0" borderId="0" xfId="0" quotePrefix="1" applyAlignment="1">
      <alignment horizontal="left" vertical="top" wrapText="1" indent="1"/>
    </xf>
    <xf numFmtId="0" fontId="55" fillId="0" borderId="34" xfId="0" applyFont="1" applyBorder="1" applyAlignment="1">
      <alignment wrapText="1"/>
    </xf>
    <xf numFmtId="167" fontId="2" fillId="0" borderId="0" xfId="11" quotePrefix="1" applyFont="1" applyBorder="1" applyAlignment="1">
      <alignment horizontal="left" indent="1"/>
    </xf>
    <xf numFmtId="167" fontId="4" fillId="0" borderId="8" xfId="11" quotePrefix="1" applyFont="1" applyBorder="1">
      <alignment horizontal="left"/>
    </xf>
    <xf numFmtId="167" fontId="2" fillId="0" borderId="8" xfId="11" applyFont="1" applyBorder="1">
      <alignment horizontal="left"/>
    </xf>
    <xf numFmtId="0" fontId="7" fillId="0" borderId="13" xfId="0" applyFont="1" applyBorder="1" applyAlignment="1">
      <alignment horizontal="right"/>
    </xf>
    <xf numFmtId="0" fontId="47" fillId="0" borderId="0" xfId="0" applyFont="1"/>
    <xf numFmtId="0" fontId="0" fillId="0" borderId="19" xfId="0" applyFont="1" applyBorder="1" applyAlignment="1">
      <alignment horizontal="left"/>
    </xf>
    <xf numFmtId="0" fontId="0" fillId="0" borderId="34" xfId="0" applyFont="1" applyBorder="1" applyAlignment="1">
      <alignment horizontal="left"/>
    </xf>
    <xf numFmtId="164" fontId="3" fillId="0" borderId="10" xfId="0" applyNumberFormat="1" applyFont="1" applyBorder="1" applyAlignment="1">
      <alignment horizontal="left"/>
    </xf>
    <xf numFmtId="186" fontId="5" fillId="0" borderId="7" xfId="0" quotePrefix="1" applyNumberFormat="1" applyFont="1" applyFill="1" applyBorder="1" applyAlignment="1">
      <alignment horizontal="left"/>
    </xf>
    <xf numFmtId="166" fontId="11" fillId="0" borderId="6" xfId="0" quotePrefix="1" applyNumberFormat="1" applyFont="1" applyBorder="1" applyAlignment="1" applyProtection="1">
      <alignment horizontal="center" vertical="center"/>
    </xf>
    <xf numFmtId="167" fontId="4" fillId="0" borderId="8" xfId="11" applyFont="1" applyBorder="1">
      <alignment horizontal="left"/>
    </xf>
    <xf numFmtId="0" fontId="2" fillId="0" borderId="13" xfId="0" applyFont="1" applyBorder="1" applyAlignment="1">
      <alignment horizontal="left" vertical="top" wrapText="1"/>
    </xf>
    <xf numFmtId="0" fontId="0" fillId="8" borderId="25" xfId="0" applyFill="1" applyBorder="1"/>
    <xf numFmtId="0" fontId="2" fillId="0" borderId="9" xfId="0" applyFont="1" applyBorder="1" applyAlignment="1">
      <alignment horizontal="left" vertical="top" wrapText="1"/>
    </xf>
    <xf numFmtId="0" fontId="2" fillId="9" borderId="25" xfId="0" applyFont="1" applyFill="1" applyBorder="1" applyAlignment="1">
      <alignment horizontal="left" vertical="top" wrapText="1"/>
    </xf>
    <xf numFmtId="0" fontId="0" fillId="8" borderId="5" xfId="0" applyFill="1" applyBorder="1"/>
    <xf numFmtId="0" fontId="2" fillId="8" borderId="0" xfId="0" applyFont="1" applyFill="1" applyBorder="1" applyAlignment="1">
      <alignment horizontal="center"/>
    </xf>
    <xf numFmtId="167" fontId="4" fillId="8" borderId="24" xfId="11" applyFont="1" applyFill="1" applyBorder="1" applyAlignment="1">
      <alignment horizontal="left" wrapText="1"/>
    </xf>
    <xf numFmtId="168" fontId="2" fillId="0" borderId="0" xfId="0" applyNumberFormat="1" applyFont="1" applyBorder="1"/>
    <xf numFmtId="167" fontId="2" fillId="8" borderId="8" xfId="11" applyFont="1" applyFill="1" applyBorder="1" applyAlignment="1">
      <alignment horizontal="left" wrapText="1"/>
    </xf>
    <xf numFmtId="167" fontId="4" fillId="8" borderId="18" xfId="11" applyFont="1" applyFill="1" applyBorder="1" applyAlignment="1">
      <alignment horizontal="left" wrapText="1"/>
    </xf>
    <xf numFmtId="167" fontId="2" fillId="8" borderId="10" xfId="11" applyFont="1" applyFill="1" applyBorder="1">
      <alignment horizontal="left"/>
    </xf>
    <xf numFmtId="0" fontId="0" fillId="0" borderId="35" xfId="0" applyBorder="1"/>
    <xf numFmtId="9" fontId="2" fillId="8" borderId="18" xfId="11" applyNumberFormat="1" applyFont="1" applyFill="1" applyBorder="1">
      <alignment horizontal="left"/>
    </xf>
    <xf numFmtId="9" fontId="2" fillId="8" borderId="34" xfId="11" applyNumberFormat="1" applyFont="1" applyFill="1" applyBorder="1">
      <alignment horizontal="left"/>
    </xf>
    <xf numFmtId="9" fontId="2" fillId="8" borderId="34" xfId="11" applyNumberFormat="1" applyFont="1" applyFill="1" applyBorder="1" applyAlignment="1">
      <alignment horizontal="left" wrapText="1"/>
    </xf>
    <xf numFmtId="167" fontId="2" fillId="0" borderId="8" xfId="11" quotePrefix="1" applyFont="1" applyBorder="1">
      <alignment horizontal="left"/>
    </xf>
    <xf numFmtId="0" fontId="2" fillId="0" borderId="37" xfId="0" applyFont="1" applyBorder="1"/>
    <xf numFmtId="167" fontId="9" fillId="10" borderId="0" xfId="11" applyFont="1" applyFill="1" applyBorder="1">
      <alignment horizontal="left"/>
    </xf>
    <xf numFmtId="167" fontId="2" fillId="10" borderId="0" xfId="11" applyFont="1" applyFill="1" applyBorder="1" applyAlignment="1">
      <alignment horizontal="right" vertical="center"/>
    </xf>
    <xf numFmtId="0" fontId="11" fillId="10" borderId="6" xfId="0" applyFont="1" applyFill="1" applyBorder="1" applyAlignment="1">
      <alignment horizontal="center" vertical="center"/>
    </xf>
    <xf numFmtId="167" fontId="4" fillId="10" borderId="0" xfId="11" applyFont="1" applyFill="1" applyBorder="1">
      <alignment horizontal="left"/>
    </xf>
    <xf numFmtId="0" fontId="12" fillId="10" borderId="0" xfId="0" applyFont="1" applyFill="1" applyBorder="1"/>
    <xf numFmtId="0" fontId="11" fillId="10" borderId="6" xfId="0" applyFont="1" applyFill="1" applyBorder="1" applyAlignment="1" applyProtection="1">
      <alignment horizontal="center" vertical="center"/>
    </xf>
    <xf numFmtId="166" fontId="11" fillId="10" borderId="6" xfId="0" quotePrefix="1" applyNumberFormat="1" applyFont="1" applyFill="1" applyBorder="1" applyAlignment="1" applyProtection="1">
      <alignment horizontal="center" vertical="center"/>
    </xf>
    <xf numFmtId="167" fontId="56" fillId="10" borderId="0" xfId="11" applyFont="1" applyFill="1" applyBorder="1">
      <alignment horizontal="left"/>
    </xf>
    <xf numFmtId="0" fontId="2" fillId="10" borderId="8" xfId="0" applyFont="1" applyFill="1" applyBorder="1"/>
    <xf numFmtId="167" fontId="5" fillId="10" borderId="0" xfId="11" applyFont="1" applyFill="1" applyBorder="1">
      <alignment horizontal="left"/>
    </xf>
    <xf numFmtId="167" fontId="9" fillId="10" borderId="0" xfId="11" quotePrefix="1" applyFont="1" applyFill="1" applyBorder="1">
      <alignment horizontal="left"/>
    </xf>
    <xf numFmtId="167" fontId="9" fillId="10" borderId="12" xfId="11" applyFont="1" applyFill="1" applyBorder="1">
      <alignment horizontal="left"/>
    </xf>
    <xf numFmtId="0" fontId="0" fillId="10" borderId="25" xfId="0" applyFill="1" applyBorder="1"/>
    <xf numFmtId="0" fontId="2" fillId="10" borderId="25" xfId="0" applyFont="1" applyFill="1" applyBorder="1" applyAlignment="1">
      <alignment horizontal="center" vertical="top" wrapText="1"/>
    </xf>
    <xf numFmtId="0" fontId="0" fillId="10" borderId="5" xfId="0" applyFill="1" applyBorder="1"/>
    <xf numFmtId="9" fontId="2" fillId="10" borderId="38" xfId="11" applyNumberFormat="1" applyFont="1" applyFill="1" applyBorder="1">
      <alignment horizontal="left"/>
    </xf>
    <xf numFmtId="9" fontId="4" fillId="10" borderId="24" xfId="11" applyNumberFormat="1" applyFont="1" applyFill="1" applyBorder="1">
      <alignment horizontal="left"/>
    </xf>
    <xf numFmtId="169" fontId="1" fillId="3" borderId="0" xfId="4" applyFill="1" applyBorder="1">
      <alignment horizontal="center"/>
    </xf>
    <xf numFmtId="0" fontId="6" fillId="10" borderId="0" xfId="0" applyFont="1" applyFill="1" applyBorder="1"/>
    <xf numFmtId="9" fontId="2" fillId="10" borderId="19" xfId="11" applyNumberFormat="1" applyFont="1" applyFill="1" applyBorder="1">
      <alignment horizontal="left"/>
    </xf>
    <xf numFmtId="9" fontId="4" fillId="10" borderId="34" xfId="11" applyNumberFormat="1" applyFont="1" applyFill="1" applyBorder="1">
      <alignment horizontal="left"/>
    </xf>
    <xf numFmtId="169" fontId="1" fillId="3" borderId="10" xfId="4" applyFill="1" applyBorder="1">
      <alignment horizontal="center"/>
    </xf>
    <xf numFmtId="170" fontId="1" fillId="10" borderId="17" xfId="6" applyFill="1" applyBorder="1">
      <protection locked="0"/>
    </xf>
    <xf numFmtId="9" fontId="2" fillId="10" borderId="34" xfId="11" applyNumberFormat="1" applyFont="1" applyFill="1" applyBorder="1">
      <alignment horizontal="left"/>
    </xf>
    <xf numFmtId="170" fontId="1" fillId="10" borderId="17" xfId="6" applyFill="1">
      <protection locked="0"/>
    </xf>
    <xf numFmtId="170" fontId="1" fillId="10" borderId="17" xfId="6" applyFill="1" applyBorder="1" applyProtection="1">
      <protection locked="0"/>
    </xf>
    <xf numFmtId="170" fontId="1" fillId="10" borderId="17" xfId="6" applyFill="1" applyProtection="1">
      <protection locked="0"/>
    </xf>
    <xf numFmtId="170" fontId="1" fillId="10" borderId="39" xfId="6" applyFill="1" applyBorder="1" applyProtection="1">
      <protection locked="0"/>
    </xf>
    <xf numFmtId="9" fontId="2" fillId="10" borderId="34" xfId="11" applyNumberFormat="1" applyFont="1" applyFill="1" applyBorder="1" applyAlignment="1">
      <alignment horizontal="left" wrapText="1"/>
    </xf>
    <xf numFmtId="9" fontId="4" fillId="0" borderId="34" xfId="11" applyNumberFormat="1" applyFont="1" applyFill="1" applyBorder="1">
      <alignment horizontal="left"/>
    </xf>
    <xf numFmtId="9" fontId="2" fillId="10" borderId="30" xfId="11" applyNumberFormat="1" applyFont="1" applyFill="1" applyBorder="1">
      <alignment horizontal="left"/>
    </xf>
    <xf numFmtId="170" fontId="1" fillId="10" borderId="39" xfId="6" applyFill="1" applyBorder="1">
      <protection locked="0"/>
    </xf>
    <xf numFmtId="9" fontId="2" fillId="10" borderId="33" xfId="11" applyNumberFormat="1" applyFont="1" applyFill="1" applyBorder="1">
      <alignment horizontal="left"/>
    </xf>
    <xf numFmtId="9" fontId="2" fillId="10" borderId="22" xfId="11" quotePrefix="1" applyNumberFormat="1" applyFont="1" applyFill="1" applyBorder="1">
      <alignment horizontal="left"/>
    </xf>
    <xf numFmtId="9" fontId="2" fillId="10" borderId="19" xfId="11" quotePrefix="1" applyNumberFormat="1" applyFont="1" applyFill="1" applyBorder="1">
      <alignment horizontal="left"/>
    </xf>
    <xf numFmtId="0" fontId="0" fillId="10" borderId="30" xfId="0" applyFill="1" applyBorder="1"/>
    <xf numFmtId="0" fontId="0" fillId="10" borderId="8" xfId="0" applyFill="1" applyBorder="1"/>
    <xf numFmtId="0" fontId="6" fillId="10" borderId="0" xfId="0" applyFont="1" applyFill="1"/>
    <xf numFmtId="0" fontId="2" fillId="10" borderId="0" xfId="0" applyFont="1" applyFill="1" applyBorder="1" applyAlignment="1">
      <alignment horizontal="right"/>
    </xf>
    <xf numFmtId="0" fontId="12" fillId="0" borderId="0" xfId="0" applyFont="1" applyBorder="1" applyAlignment="1">
      <alignment vertical="center"/>
    </xf>
    <xf numFmtId="0" fontId="0" fillId="0" borderId="12" xfId="0" applyBorder="1"/>
    <xf numFmtId="167" fontId="4" fillId="0" borderId="22" xfId="11" applyFont="1" applyBorder="1">
      <alignment horizontal="left"/>
    </xf>
    <xf numFmtId="167" fontId="2" fillId="0" borderId="22" xfId="11" applyFont="1" applyBorder="1">
      <alignment horizontal="left"/>
    </xf>
    <xf numFmtId="0" fontId="13" fillId="9" borderId="25" xfId="0" applyFont="1" applyFill="1" applyBorder="1" applyAlignment="1">
      <alignment horizontal="center" vertical="top" wrapText="1"/>
    </xf>
    <xf numFmtId="170" fontId="1" fillId="7" borderId="17" xfId="5" applyFill="1" applyBorder="1"/>
    <xf numFmtId="170" fontId="1" fillId="0" borderId="39" xfId="5" applyBorder="1"/>
    <xf numFmtId="170" fontId="1" fillId="0" borderId="34" xfId="5" applyBorder="1"/>
    <xf numFmtId="170" fontId="1" fillId="0" borderId="41" xfId="5" applyBorder="1"/>
    <xf numFmtId="170" fontId="1" fillId="0" borderId="42" xfId="5" applyBorder="1"/>
    <xf numFmtId="0" fontId="0" fillId="0" borderId="0" xfId="0" applyBorder="1" applyAlignment="1">
      <alignment horizontal="left"/>
    </xf>
    <xf numFmtId="0" fontId="0" fillId="8" borderId="0" xfId="0" applyFill="1" applyAlignment="1">
      <alignment horizontal="left"/>
    </xf>
    <xf numFmtId="0" fontId="9" fillId="8" borderId="0" xfId="0" applyFont="1" applyFill="1" applyBorder="1"/>
    <xf numFmtId="0" fontId="12" fillId="8" borderId="0" xfId="0" applyFont="1" applyFill="1" applyBorder="1" applyAlignment="1">
      <alignment vertical="center"/>
    </xf>
    <xf numFmtId="0" fontId="11" fillId="8" borderId="0" xfId="0" applyFont="1" applyFill="1" applyAlignment="1">
      <alignment horizontal="center" vertical="top"/>
    </xf>
    <xf numFmtId="0" fontId="2" fillId="8" borderId="0" xfId="0" applyFont="1" applyFill="1" applyAlignment="1">
      <alignment vertical="top"/>
    </xf>
    <xf numFmtId="0" fontId="2" fillId="8" borderId="13" xfId="0" applyFont="1" applyFill="1" applyBorder="1" applyAlignment="1">
      <alignment horizontal="left" vertical="top"/>
    </xf>
    <xf numFmtId="0" fontId="2" fillId="8" borderId="13" xfId="0" applyFont="1" applyFill="1" applyBorder="1" applyAlignment="1">
      <alignment vertical="top"/>
    </xf>
    <xf numFmtId="0" fontId="11" fillId="8" borderId="13" xfId="0" applyFont="1" applyFill="1" applyBorder="1" applyAlignment="1">
      <alignment horizontal="left" vertical="center"/>
    </xf>
    <xf numFmtId="0" fontId="0" fillId="8" borderId="13" xfId="0" applyFill="1" applyBorder="1"/>
    <xf numFmtId="0" fontId="2" fillId="8" borderId="8" xfId="0" applyFont="1" applyFill="1" applyBorder="1" applyAlignment="1">
      <alignment horizontal="left" vertical="top"/>
    </xf>
    <xf numFmtId="0" fontId="0" fillId="8" borderId="8" xfId="0" applyFill="1" applyBorder="1" applyAlignment="1">
      <alignment horizontal="center"/>
    </xf>
    <xf numFmtId="0" fontId="2" fillId="8" borderId="0" xfId="0" applyFont="1" applyFill="1" applyBorder="1" applyAlignment="1">
      <alignment horizontal="left" vertical="top"/>
    </xf>
    <xf numFmtId="0" fontId="0" fillId="8" borderId="12" xfId="0" applyFill="1" applyBorder="1"/>
    <xf numFmtId="0" fontId="4" fillId="8" borderId="0" xfId="0" applyFont="1" applyFill="1" applyBorder="1" applyAlignment="1">
      <alignment horizontal="left"/>
    </xf>
    <xf numFmtId="187" fontId="1" fillId="8" borderId="15" xfId="7" applyNumberFormat="1" applyFill="1">
      <alignment vertical="center"/>
    </xf>
    <xf numFmtId="0" fontId="2" fillId="8" borderId="8" xfId="0" quotePrefix="1" applyFont="1" applyFill="1" applyBorder="1" applyAlignment="1">
      <alignment horizontal="left"/>
    </xf>
    <xf numFmtId="0" fontId="2" fillId="8" borderId="8" xfId="0" applyFont="1" applyFill="1" applyBorder="1"/>
    <xf numFmtId="0" fontId="1" fillId="8" borderId="30" xfId="8" applyNumberFormat="1" applyFont="1" applyFill="1" applyBorder="1" applyAlignment="1"/>
    <xf numFmtId="169" fontId="1" fillId="8" borderId="8" xfId="4" applyFill="1" applyBorder="1">
      <alignment horizontal="center"/>
    </xf>
    <xf numFmtId="0" fontId="5" fillId="8" borderId="0" xfId="0" applyFont="1" applyFill="1" applyBorder="1"/>
    <xf numFmtId="169" fontId="1" fillId="8" borderId="25" xfId="4" applyFill="1" applyBorder="1">
      <alignment horizontal="center"/>
    </xf>
    <xf numFmtId="0" fontId="0" fillId="8" borderId="8" xfId="0" applyFill="1" applyBorder="1" applyAlignment="1">
      <alignment horizontal="left"/>
    </xf>
    <xf numFmtId="0" fontId="2" fillId="8" borderId="14" xfId="0" applyFont="1" applyFill="1" applyBorder="1" applyAlignment="1">
      <alignment horizontal="left"/>
    </xf>
    <xf numFmtId="0" fontId="2" fillId="8" borderId="13" xfId="0" applyFont="1" applyFill="1" applyBorder="1" applyAlignment="1">
      <alignment horizontal="center"/>
    </xf>
    <xf numFmtId="0" fontId="2" fillId="8" borderId="13" xfId="0" applyFont="1" applyFill="1" applyBorder="1" applyAlignment="1">
      <alignment horizontal="right"/>
    </xf>
    <xf numFmtId="167" fontId="2" fillId="8" borderId="12" xfId="0" applyNumberFormat="1" applyFont="1" applyFill="1" applyBorder="1" applyAlignment="1">
      <alignment horizontal="left"/>
    </xf>
    <xf numFmtId="0" fontId="2" fillId="8" borderId="11" xfId="0" applyFont="1" applyFill="1" applyBorder="1" applyAlignment="1">
      <alignment horizontal="left"/>
    </xf>
    <xf numFmtId="14" fontId="2" fillId="8" borderId="10" xfId="0" applyNumberFormat="1" applyFont="1" applyFill="1" applyBorder="1" applyAlignment="1">
      <alignment horizontal="left"/>
    </xf>
    <xf numFmtId="2" fontId="2" fillId="8" borderId="10" xfId="0" applyNumberFormat="1" applyFont="1" applyFill="1" applyBorder="1" applyAlignment="1">
      <alignment horizontal="left"/>
    </xf>
    <xf numFmtId="0" fontId="2" fillId="8" borderId="9" xfId="0" applyFont="1" applyFill="1" applyBorder="1" applyAlignment="1">
      <alignment horizontal="left"/>
    </xf>
    <xf numFmtId="0" fontId="2" fillId="8" borderId="8" xfId="0" applyFont="1" applyFill="1" applyBorder="1" applyAlignment="1">
      <alignment horizontal="center"/>
    </xf>
    <xf numFmtId="165" fontId="5" fillId="8" borderId="7" xfId="0" applyNumberFormat="1" applyFont="1" applyFill="1" applyBorder="1" applyAlignment="1">
      <alignment horizontal="left"/>
    </xf>
    <xf numFmtId="0" fontId="2" fillId="8" borderId="0" xfId="0" applyFont="1" applyFill="1" applyBorder="1" applyAlignment="1">
      <alignment horizontal="left"/>
    </xf>
    <xf numFmtId="0" fontId="2" fillId="8" borderId="0" xfId="0" applyFont="1" applyFill="1" applyBorder="1" applyAlignment="1">
      <alignment horizontal="right"/>
    </xf>
    <xf numFmtId="0" fontId="15" fillId="0" borderId="0" xfId="13" quotePrefix="1" applyFont="1" applyAlignment="1">
      <alignment vertical="center"/>
    </xf>
    <xf numFmtId="0" fontId="15" fillId="0" borderId="0" xfId="13" applyFont="1"/>
    <xf numFmtId="0" fontId="58" fillId="15" borderId="25" xfId="13" applyFont="1" applyFill="1" applyBorder="1" applyAlignment="1">
      <alignment horizontal="center" vertical="center" wrapText="1"/>
    </xf>
    <xf numFmtId="0" fontId="58" fillId="15" borderId="5" xfId="13" applyFont="1" applyFill="1" applyBorder="1" applyAlignment="1">
      <alignment horizontal="center" vertical="center" wrapText="1"/>
    </xf>
    <xf numFmtId="169" fontId="0" fillId="3" borderId="25" xfId="4" applyFont="1" applyBorder="1">
      <alignment horizontal="center"/>
    </xf>
    <xf numFmtId="0" fontId="0" fillId="0" borderId="5" xfId="0" applyFont="1" applyBorder="1"/>
    <xf numFmtId="0" fontId="0" fillId="0" borderId="0" xfId="0" applyFont="1" applyBorder="1"/>
    <xf numFmtId="0" fontId="58" fillId="15" borderId="14" xfId="13" applyFont="1" applyFill="1" applyBorder="1" applyAlignment="1">
      <alignment horizontal="center" vertical="center" wrapText="1"/>
    </xf>
    <xf numFmtId="0" fontId="58" fillId="15" borderId="9" xfId="13" applyFont="1" applyFill="1" applyBorder="1" applyAlignment="1">
      <alignment horizontal="center" vertical="center" wrapText="1"/>
    </xf>
    <xf numFmtId="170" fontId="1" fillId="10" borderId="17" xfId="17" applyFill="1"/>
    <xf numFmtId="170" fontId="0" fillId="10" borderId="17" xfId="17" applyFont="1" applyFill="1"/>
    <xf numFmtId="170" fontId="1" fillId="17" borderId="17" xfId="17" applyFill="1"/>
    <xf numFmtId="170" fontId="0" fillId="10" borderId="41" xfId="17" applyFont="1" applyFill="1" applyBorder="1"/>
    <xf numFmtId="0" fontId="0" fillId="0" borderId="0" xfId="0"/>
    <xf numFmtId="0" fontId="2" fillId="0" borderId="14" xfId="0" applyFont="1" applyBorder="1" applyAlignment="1">
      <alignment vertical="top"/>
    </xf>
    <xf numFmtId="170" fontId="0" fillId="7" borderId="39" xfId="5" applyFont="1" applyFill="1" applyBorder="1"/>
    <xf numFmtId="0" fontId="13" fillId="0" borderId="0" xfId="0" applyFont="1" applyFill="1"/>
    <xf numFmtId="170" fontId="0" fillId="7" borderId="16" xfId="5" applyFont="1" applyFill="1"/>
    <xf numFmtId="0" fontId="2" fillId="0" borderId="14" xfId="0" applyFont="1" applyBorder="1" applyAlignment="1">
      <alignment horizontal="left" vertical="top" wrapText="1"/>
    </xf>
    <xf numFmtId="0" fontId="2" fillId="0" borderId="7" xfId="0" applyFont="1" applyBorder="1" applyAlignment="1">
      <alignment horizontal="left" vertical="top" wrapText="1"/>
    </xf>
    <xf numFmtId="0" fontId="2" fillId="0" borderId="15" xfId="0" applyFont="1" applyBorder="1" applyAlignment="1">
      <alignment vertical="top"/>
    </xf>
    <xf numFmtId="0" fontId="2" fillId="0" borderId="0" xfId="0" applyFont="1" applyFill="1" applyBorder="1" applyAlignment="1">
      <alignment horizontal="center"/>
    </xf>
    <xf numFmtId="167" fontId="2" fillId="0" borderId="13" xfId="11" quotePrefix="1" applyFont="1" applyBorder="1">
      <alignment horizontal="left"/>
    </xf>
    <xf numFmtId="0" fontId="0" fillId="0" borderId="7" xfId="0" applyBorder="1"/>
    <xf numFmtId="0" fontId="0" fillId="0" borderId="32" xfId="0" applyBorder="1"/>
    <xf numFmtId="0" fontId="6" fillId="0" borderId="20" xfId="0" applyFont="1" applyBorder="1"/>
    <xf numFmtId="167" fontId="2" fillId="0" borderId="0" xfId="11" quotePrefix="1" applyFont="1" applyBorder="1">
      <alignment horizontal="left"/>
    </xf>
    <xf numFmtId="0" fontId="1" fillId="0" borderId="15" xfId="8" applyNumberFormat="1">
      <alignment vertical="center"/>
    </xf>
    <xf numFmtId="167" fontId="4" fillId="0" borderId="0" xfId="11" quotePrefix="1" applyFont="1" applyBorder="1">
      <alignment horizontal="left"/>
    </xf>
    <xf numFmtId="0" fontId="7" fillId="0" borderId="0" xfId="0" applyFont="1"/>
    <xf numFmtId="0" fontId="0" fillId="0" borderId="0" xfId="0" quotePrefix="1" applyAlignment="1">
      <alignment horizontal="right"/>
    </xf>
    <xf numFmtId="167" fontId="2" fillId="0" borderId="10" xfId="0" applyNumberFormat="1" applyFont="1" applyBorder="1" applyAlignment="1">
      <alignment horizontal="left"/>
    </xf>
    <xf numFmtId="9" fontId="2" fillId="8" borderId="7" xfId="11" applyNumberFormat="1" applyFont="1" applyFill="1" applyBorder="1">
      <alignment horizontal="left"/>
    </xf>
    <xf numFmtId="0" fontId="0" fillId="0" borderId="5" xfId="2" applyFont="1">
      <alignment horizontal="center" vertical="center"/>
    </xf>
    <xf numFmtId="171" fontId="0" fillId="0" borderId="15" xfId="8" applyNumberFormat="1" applyFont="1">
      <alignment vertical="center"/>
    </xf>
    <xf numFmtId="171" fontId="0" fillId="16" borderId="15" xfId="8" applyNumberFormat="1" applyFont="1" applyFill="1">
      <alignment vertical="center"/>
    </xf>
    <xf numFmtId="0" fontId="0" fillId="0" borderId="25" xfId="0" applyBorder="1" applyAlignment="1">
      <alignment horizontal="center" vertical="top" wrapText="1"/>
    </xf>
    <xf numFmtId="171" fontId="0" fillId="0" borderId="25" xfId="8" applyNumberFormat="1" applyFont="1" applyBorder="1">
      <alignment vertical="center"/>
    </xf>
    <xf numFmtId="0" fontId="0" fillId="16" borderId="15" xfId="0" applyFill="1" applyBorder="1" applyAlignment="1">
      <alignment horizontal="left"/>
    </xf>
    <xf numFmtId="0" fontId="0" fillId="16" borderId="15" xfId="0" applyFill="1" applyBorder="1"/>
    <xf numFmtId="171" fontId="0" fillId="17" borderId="15" xfId="8" applyNumberFormat="1" applyFont="1" applyFill="1">
      <alignment vertical="center"/>
    </xf>
    <xf numFmtId="169" fontId="2" fillId="8" borderId="15" xfId="4" applyFont="1" applyFill="1">
      <alignment horizontal="center"/>
    </xf>
    <xf numFmtId="0" fontId="0" fillId="0" borderId="0" xfId="0"/>
    <xf numFmtId="0" fontId="14" fillId="0" borderId="0" xfId="0" quotePrefix="1" applyFont="1" applyFill="1" applyBorder="1"/>
    <xf numFmtId="0" fontId="0" fillId="16" borderId="15" xfId="0" applyFont="1" applyFill="1" applyBorder="1"/>
    <xf numFmtId="171" fontId="0" fillId="16" borderId="15" xfId="8" applyNumberFormat="1" applyFont="1" applyFill="1" applyBorder="1">
      <alignment vertical="center"/>
    </xf>
    <xf numFmtId="0" fontId="14" fillId="0" borderId="0" xfId="0" quotePrefix="1" applyFont="1" applyBorder="1"/>
    <xf numFmtId="1" fontId="1" fillId="8" borderId="17" xfId="15" applyFill="1">
      <alignment horizontal="center"/>
      <protection locked="0"/>
    </xf>
    <xf numFmtId="0" fontId="39" fillId="8" borderId="0" xfId="0" quotePrefix="1" applyFont="1" applyFill="1" applyBorder="1" applyAlignment="1">
      <alignment horizontal="left"/>
    </xf>
    <xf numFmtId="0" fontId="4" fillId="8" borderId="0" xfId="0" applyFont="1" applyFill="1" applyBorder="1" applyAlignment="1">
      <alignment horizontal="center"/>
    </xf>
    <xf numFmtId="170" fontId="1" fillId="0" borderId="45" xfId="6" applyFill="1" applyBorder="1">
      <protection locked="0"/>
    </xf>
    <xf numFmtId="170" fontId="1" fillId="7" borderId="39" xfId="5" applyFill="1" applyBorder="1"/>
    <xf numFmtId="170" fontId="14" fillId="7" borderId="39" xfId="5" applyFont="1" applyFill="1" applyBorder="1"/>
    <xf numFmtId="170" fontId="1" fillId="9" borderId="16" xfId="6" applyFill="1" applyBorder="1">
      <protection locked="0"/>
    </xf>
    <xf numFmtId="170" fontId="1" fillId="7" borderId="45" xfId="5" applyFill="1" applyBorder="1"/>
    <xf numFmtId="171" fontId="1" fillId="8" borderId="39" xfId="7" applyNumberFormat="1" applyFill="1" applyBorder="1">
      <alignment vertical="center"/>
    </xf>
    <xf numFmtId="170" fontId="1" fillId="8" borderId="39" xfId="5" applyFill="1" applyBorder="1"/>
    <xf numFmtId="170" fontId="1" fillId="0" borderId="31" xfId="5" applyBorder="1"/>
    <xf numFmtId="170" fontId="1" fillId="8" borderId="31" xfId="5" applyFill="1" applyBorder="1"/>
    <xf numFmtId="170" fontId="1" fillId="7" borderId="31" xfId="5" applyFill="1" applyBorder="1"/>
    <xf numFmtId="170" fontId="1" fillId="0" borderId="17" xfId="5" applyFill="1" applyBorder="1"/>
    <xf numFmtId="170" fontId="1" fillId="0" borderId="39" xfId="5" applyFill="1" applyBorder="1"/>
    <xf numFmtId="170" fontId="1" fillId="0" borderId="39" xfId="6" applyFill="1" applyBorder="1">
      <protection locked="0"/>
    </xf>
    <xf numFmtId="171" fontId="1" fillId="0" borderId="39" xfId="7" applyNumberFormat="1" applyFill="1" applyBorder="1">
      <alignment vertical="center"/>
    </xf>
    <xf numFmtId="170" fontId="1" fillId="14" borderId="39" xfId="6" applyFill="1" applyBorder="1">
      <protection locked="0"/>
    </xf>
    <xf numFmtId="171" fontId="1" fillId="0" borderId="17" xfId="7" applyNumberFormat="1" applyFill="1" applyBorder="1">
      <alignment vertical="center"/>
    </xf>
    <xf numFmtId="170" fontId="1" fillId="0" borderId="16" xfId="6" applyFill="1" applyBorder="1">
      <protection locked="0"/>
    </xf>
    <xf numFmtId="170" fontId="1" fillId="0" borderId="41" xfId="6" applyFill="1" applyBorder="1">
      <protection locked="0"/>
    </xf>
    <xf numFmtId="170" fontId="1" fillId="0" borderId="41" xfId="5" applyFill="1" applyBorder="1"/>
    <xf numFmtId="170" fontId="1" fillId="0" borderId="46" xfId="5" applyFill="1" applyBorder="1"/>
    <xf numFmtId="171" fontId="1" fillId="0" borderId="45" xfId="8" applyNumberFormat="1" applyFill="1" applyBorder="1">
      <alignment vertical="center"/>
    </xf>
    <xf numFmtId="171" fontId="1" fillId="0" borderId="45" xfId="7" applyNumberFormat="1" applyFill="1" applyBorder="1">
      <alignment vertical="center"/>
    </xf>
    <xf numFmtId="171" fontId="1" fillId="0" borderId="19" xfId="7" applyNumberFormat="1" applyFill="1" applyBorder="1">
      <alignment vertical="center"/>
    </xf>
    <xf numFmtId="170" fontId="1" fillId="9" borderId="45" xfId="5" applyFill="1" applyBorder="1"/>
    <xf numFmtId="170" fontId="1" fillId="9" borderId="39" xfId="5" applyFill="1" applyBorder="1"/>
    <xf numFmtId="171" fontId="2" fillId="0" borderId="10" xfId="0" applyNumberFormat="1" applyFont="1" applyBorder="1"/>
    <xf numFmtId="0" fontId="2" fillId="9" borderId="0" xfId="0" quotePrefix="1" applyNumberFormat="1" applyFont="1" applyFill="1" applyBorder="1" applyAlignment="1">
      <alignment horizontal="left"/>
    </xf>
    <xf numFmtId="0" fontId="2" fillId="7" borderId="0" xfId="0" applyFont="1" applyFill="1" applyBorder="1" applyAlignment="1">
      <alignment wrapText="1"/>
    </xf>
    <xf numFmtId="0" fontId="2" fillId="7" borderId="0" xfId="0" applyFont="1" applyFill="1" applyBorder="1" applyAlignment="1"/>
    <xf numFmtId="169" fontId="1" fillId="9" borderId="15" xfId="4" applyFill="1">
      <alignment horizontal="center"/>
    </xf>
    <xf numFmtId="169" fontId="1" fillId="9" borderId="15" xfId="4" applyFill="1" applyBorder="1">
      <alignment horizontal="center"/>
    </xf>
    <xf numFmtId="0" fontId="11" fillId="7" borderId="0" xfId="0" quotePrefix="1" applyFont="1" applyFill="1" applyBorder="1"/>
    <xf numFmtId="0" fontId="10" fillId="7" borderId="0" xfId="0" quotePrefix="1" applyFont="1" applyFill="1" applyBorder="1"/>
    <xf numFmtId="0" fontId="2" fillId="7" borderId="0" xfId="0" quotePrefix="1" applyFont="1" applyFill="1" applyBorder="1"/>
    <xf numFmtId="0" fontId="0" fillId="0" borderId="0" xfId="0" applyFont="1" applyFill="1" applyBorder="1"/>
    <xf numFmtId="0" fontId="2" fillId="0" borderId="13" xfId="20" applyFont="1" applyBorder="1" applyAlignment="1">
      <alignment horizontal="center"/>
    </xf>
    <xf numFmtId="0" fontId="2" fillId="8" borderId="0" xfId="20" applyFont="1" applyFill="1"/>
    <xf numFmtId="0" fontId="40" fillId="8" borderId="0" xfId="0" applyNumberFormat="1" applyFont="1" applyFill="1" applyBorder="1" applyAlignment="1">
      <alignment horizontal="left" wrapText="1"/>
    </xf>
    <xf numFmtId="0" fontId="54" fillId="8" borderId="10" xfId="0" applyFont="1" applyFill="1" applyBorder="1"/>
    <xf numFmtId="170" fontId="59" fillId="8" borderId="15" xfId="8" applyFont="1" applyFill="1" applyAlignment="1"/>
    <xf numFmtId="169" fontId="59" fillId="8" borderId="15" xfId="4" applyFont="1" applyFill="1" applyBorder="1">
      <alignment horizontal="center"/>
    </xf>
    <xf numFmtId="0" fontId="60" fillId="8" borderId="0" xfId="0" quotePrefix="1" applyNumberFormat="1" applyFont="1" applyFill="1" applyBorder="1" applyAlignment="1">
      <alignment wrapText="1"/>
    </xf>
    <xf numFmtId="0" fontId="54" fillId="8" borderId="10" xfId="0" applyFont="1" applyFill="1" applyBorder="1" applyAlignment="1">
      <alignment vertical="top"/>
    </xf>
    <xf numFmtId="0" fontId="54" fillId="8" borderId="0" xfId="0" quotePrefix="1" applyNumberFormat="1" applyFont="1" applyFill="1" applyBorder="1" applyAlignment="1"/>
    <xf numFmtId="170" fontId="59" fillId="8" borderId="17" xfId="17" applyFont="1" applyFill="1"/>
    <xf numFmtId="169" fontId="59" fillId="8" borderId="15" xfId="4" applyFont="1" applyFill="1">
      <alignment horizontal="center"/>
    </xf>
    <xf numFmtId="174" fontId="54" fillId="8" borderId="32" xfId="18" applyFont="1" applyFill="1">
      <alignment horizontal="right"/>
    </xf>
    <xf numFmtId="0" fontId="54" fillId="8" borderId="0" xfId="0" quotePrefix="1" applyNumberFormat="1" applyFont="1" applyFill="1" applyBorder="1" applyAlignment="1">
      <alignment horizontal="left"/>
    </xf>
    <xf numFmtId="174" fontId="54" fillId="8" borderId="15" xfId="8" quotePrefix="1" applyNumberFormat="1" applyFont="1" applyFill="1" applyAlignment="1">
      <alignment horizontal="right"/>
    </xf>
    <xf numFmtId="0" fontId="54" fillId="8" borderId="0" xfId="0" quotePrefix="1" applyNumberFormat="1" applyFont="1" applyFill="1" applyBorder="1" applyAlignment="1">
      <alignment horizontal="left" wrapText="1"/>
    </xf>
    <xf numFmtId="180" fontId="54" fillId="8" borderId="15" xfId="8" applyNumberFormat="1" applyFont="1" applyFill="1" applyAlignment="1">
      <alignment horizontal="right"/>
    </xf>
    <xf numFmtId="0" fontId="54" fillId="8" borderId="0" xfId="0" quotePrefix="1" applyNumberFormat="1" applyFont="1" applyFill="1" applyBorder="1" applyAlignment="1">
      <alignment wrapText="1"/>
    </xf>
    <xf numFmtId="0" fontId="62" fillId="8" borderId="0" xfId="0" quotePrefix="1" applyNumberFormat="1" applyFont="1" applyFill="1" applyBorder="1" applyAlignment="1"/>
    <xf numFmtId="0" fontId="62" fillId="8" borderId="0" xfId="0" quotePrefix="1" applyNumberFormat="1" applyFont="1" applyFill="1" applyBorder="1" applyAlignment="1">
      <alignment wrapText="1"/>
    </xf>
    <xf numFmtId="170" fontId="59" fillId="8" borderId="17" xfId="17" applyFont="1" applyFill="1" applyAlignment="1">
      <alignment horizontal="right"/>
    </xf>
    <xf numFmtId="170" fontId="59" fillId="8" borderId="15" xfId="8" applyFont="1" applyFill="1" applyAlignment="1">
      <alignment horizontal="right"/>
    </xf>
    <xf numFmtId="170" fontId="2" fillId="0" borderId="0" xfId="0" applyNumberFormat="1" applyFont="1"/>
    <xf numFmtId="0" fontId="20" fillId="7" borderId="0" xfId="0" quotePrefix="1" applyNumberFormat="1" applyFont="1" applyFill="1" applyBorder="1" applyAlignment="1">
      <alignment wrapText="1"/>
    </xf>
    <xf numFmtId="0" fontId="13" fillId="7" borderId="0" xfId="0" quotePrefix="1" applyNumberFormat="1" applyFont="1" applyFill="1" applyBorder="1" applyAlignment="1"/>
    <xf numFmtId="14" fontId="13" fillId="7" borderId="0" xfId="0" quotePrefix="1" applyNumberFormat="1" applyFont="1" applyFill="1" applyBorder="1" applyAlignment="1"/>
    <xf numFmtId="0" fontId="3" fillId="7" borderId="21" xfId="1" applyFill="1" applyBorder="1">
      <alignment horizontal="center" vertical="center"/>
    </xf>
    <xf numFmtId="0" fontId="54" fillId="8" borderId="0" xfId="0" applyFont="1" applyFill="1" applyBorder="1"/>
    <xf numFmtId="0" fontId="62" fillId="8" borderId="21" xfId="1" applyFont="1" applyFill="1" applyBorder="1">
      <alignment horizontal="center" vertical="center"/>
    </xf>
    <xf numFmtId="0" fontId="54" fillId="8" borderId="19" xfId="0" applyFont="1" applyFill="1" applyBorder="1"/>
    <xf numFmtId="0" fontId="62" fillId="8" borderId="1" xfId="1" applyFont="1" applyFill="1">
      <alignment horizontal="center" vertical="center"/>
    </xf>
    <xf numFmtId="0" fontId="54" fillId="8" borderId="0" xfId="0" applyFont="1" applyFill="1"/>
    <xf numFmtId="0" fontId="54" fillId="8" borderId="20" xfId="0" applyFont="1" applyFill="1" applyBorder="1"/>
    <xf numFmtId="0" fontId="62" fillId="8" borderId="19" xfId="0" applyFont="1" applyFill="1" applyBorder="1"/>
    <xf numFmtId="0" fontId="0" fillId="0" borderId="0" xfId="0" applyFill="1"/>
    <xf numFmtId="171" fontId="1" fillId="9" borderId="45" xfId="7" applyNumberFormat="1" applyFill="1" applyBorder="1">
      <alignment vertical="center"/>
    </xf>
    <xf numFmtId="0" fontId="54" fillId="0" borderId="0" xfId="0" applyFont="1" applyFill="1" applyBorder="1"/>
    <xf numFmtId="0" fontId="54" fillId="0" borderId="0" xfId="0" applyFont="1" applyFill="1"/>
    <xf numFmtId="0" fontId="1" fillId="0" borderId="7" xfId="2" applyFill="1" applyBorder="1">
      <alignment horizontal="center" vertical="center"/>
    </xf>
    <xf numFmtId="0" fontId="2" fillId="0" borderId="25" xfId="25" applyFont="1" applyFill="1" applyBorder="1" applyAlignment="1">
      <alignment vertical="top" wrapText="1"/>
    </xf>
    <xf numFmtId="0" fontId="2" fillId="0" borderId="15" xfId="25" applyFont="1" applyFill="1" applyBorder="1" applyAlignment="1">
      <alignment vertical="top" wrapText="1"/>
    </xf>
    <xf numFmtId="0" fontId="2" fillId="0" borderId="15" xfId="20" applyFont="1" applyFill="1" applyBorder="1"/>
    <xf numFmtId="0" fontId="2" fillId="9" borderId="7" xfId="0" applyFont="1" applyFill="1" applyBorder="1" applyAlignment="1">
      <alignment vertical="top" wrapText="1"/>
    </xf>
    <xf numFmtId="170" fontId="1" fillId="0" borderId="40" xfId="5" applyFill="1" applyBorder="1"/>
    <xf numFmtId="170" fontId="1" fillId="0" borderId="40" xfId="6" applyFill="1" applyBorder="1">
      <protection locked="0"/>
    </xf>
    <xf numFmtId="170" fontId="1" fillId="0" borderId="42" xfId="6" applyFill="1" applyBorder="1">
      <protection locked="0"/>
    </xf>
    <xf numFmtId="0" fontId="13" fillId="9" borderId="7" xfId="2" applyFont="1" applyFill="1" applyBorder="1">
      <alignment horizontal="center" vertical="center"/>
    </xf>
    <xf numFmtId="0" fontId="2" fillId="7" borderId="25" xfId="25" applyFont="1" applyFill="1" applyBorder="1" applyAlignment="1">
      <alignment vertical="top" wrapText="1"/>
    </xf>
    <xf numFmtId="0" fontId="2" fillId="7" borderId="15" xfId="25" applyFont="1" applyFill="1" applyBorder="1" applyAlignment="1">
      <alignment vertical="top" wrapText="1"/>
    </xf>
    <xf numFmtId="0" fontId="2" fillId="7" borderId="15" xfId="20" applyFont="1" applyFill="1" applyBorder="1"/>
    <xf numFmtId="170" fontId="1" fillId="0" borderId="48" xfId="6" applyFill="1" applyBorder="1">
      <protection locked="0"/>
    </xf>
    <xf numFmtId="0" fontId="1" fillId="9" borderId="6" xfId="2" applyFill="1" applyBorder="1">
      <alignment horizontal="center" vertical="center"/>
    </xf>
    <xf numFmtId="0" fontId="4" fillId="9" borderId="3" xfId="0" applyFont="1" applyFill="1" applyBorder="1" applyAlignment="1">
      <alignment wrapText="1"/>
    </xf>
    <xf numFmtId="0" fontId="62" fillId="8" borderId="3" xfId="0" applyFont="1" applyFill="1" applyBorder="1" applyAlignment="1">
      <alignment wrapText="1"/>
    </xf>
    <xf numFmtId="0" fontId="54" fillId="8" borderId="2" xfId="0" applyFont="1" applyFill="1" applyBorder="1"/>
    <xf numFmtId="0" fontId="4" fillId="7" borderId="3" xfId="0" applyFont="1" applyFill="1" applyBorder="1" applyAlignment="1">
      <alignment wrapText="1"/>
    </xf>
    <xf numFmtId="0" fontId="2" fillId="7" borderId="2" xfId="0" applyFont="1" applyFill="1" applyBorder="1"/>
    <xf numFmtId="0" fontId="62" fillId="0" borderId="0" xfId="0" applyFont="1" applyFill="1" applyBorder="1"/>
    <xf numFmtId="167" fontId="13" fillId="0" borderId="8" xfId="3" quotePrefix="1" applyFont="1" applyFill="1" applyBorder="1">
      <alignment horizontal="left"/>
    </xf>
    <xf numFmtId="0" fontId="30" fillId="0" borderId="0" xfId="0" applyFont="1" applyFill="1"/>
    <xf numFmtId="0" fontId="52" fillId="9" borderId="3" xfId="0" applyFont="1" applyFill="1" applyBorder="1" applyAlignment="1">
      <alignment wrapText="1"/>
    </xf>
    <xf numFmtId="0" fontId="3" fillId="9" borderId="3" xfId="0" applyFont="1" applyFill="1" applyBorder="1" applyAlignment="1">
      <alignment wrapText="1"/>
    </xf>
    <xf numFmtId="164" fontId="5" fillId="9" borderId="7" xfId="0" quotePrefix="1" applyNumberFormat="1" applyFont="1" applyFill="1" applyBorder="1" applyAlignment="1">
      <alignment horizontal="left"/>
    </xf>
    <xf numFmtId="0" fontId="54" fillId="0" borderId="0" xfId="0" applyFont="1" applyFill="1" applyBorder="1" applyAlignment="1">
      <alignment horizontal="center"/>
    </xf>
    <xf numFmtId="172" fontId="5" fillId="0" borderId="0" xfId="0" applyNumberFormat="1" applyFont="1" applyFill="1" applyBorder="1" applyAlignment="1">
      <alignment horizontal="left"/>
    </xf>
    <xf numFmtId="0" fontId="6" fillId="0" borderId="11" xfId="0" applyFont="1" applyFill="1" applyBorder="1"/>
    <xf numFmtId="0" fontId="2" fillId="0" borderId="0" xfId="0" applyFont="1" applyFill="1" applyAlignment="1">
      <alignment horizontal="right" vertical="center"/>
    </xf>
    <xf numFmtId="0" fontId="11" fillId="0" borderId="6" xfId="0" applyFont="1" applyFill="1" applyBorder="1" applyAlignment="1">
      <alignment horizontal="center" vertical="center"/>
    </xf>
    <xf numFmtId="0" fontId="12" fillId="0" borderId="0" xfId="0" applyFont="1" applyFill="1" applyBorder="1"/>
    <xf numFmtId="0" fontId="11" fillId="0" borderId="6" xfId="0" applyFont="1" applyFill="1" applyBorder="1" applyAlignment="1" applyProtection="1">
      <alignment horizontal="center" vertical="center"/>
    </xf>
    <xf numFmtId="14" fontId="11" fillId="0" borderId="6" xfId="0" quotePrefix="1" applyNumberFormat="1" applyFont="1" applyFill="1" applyBorder="1" applyAlignment="1" applyProtection="1">
      <alignment horizontal="center" vertical="center"/>
    </xf>
    <xf numFmtId="167" fontId="44" fillId="0" borderId="0" xfId="3" applyFont="1" applyFill="1" applyBorder="1">
      <alignment horizontal="left"/>
    </xf>
    <xf numFmtId="167" fontId="3" fillId="0" borderId="0" xfId="3" quotePrefix="1" applyFont="1" applyFill="1" applyBorder="1" applyAlignment="1">
      <alignment horizontal="center"/>
    </xf>
    <xf numFmtId="170" fontId="1" fillId="9" borderId="31" xfId="5" applyFill="1" applyBorder="1"/>
    <xf numFmtId="0" fontId="0" fillId="0" borderId="0" xfId="0" applyFill="1"/>
    <xf numFmtId="0" fontId="0" fillId="0" borderId="0" xfId="0"/>
    <xf numFmtId="174" fontId="2" fillId="8" borderId="15" xfId="8" quotePrefix="1" applyNumberFormat="1" applyFont="1" applyFill="1" applyAlignment="1">
      <alignment horizontal="right"/>
    </xf>
    <xf numFmtId="169" fontId="0" fillId="8" borderId="15" xfId="4" applyFont="1" applyFill="1" applyBorder="1">
      <alignment horizontal="center"/>
    </xf>
    <xf numFmtId="180" fontId="2" fillId="8" borderId="32" xfId="16" applyFill="1">
      <alignment horizontal="right"/>
      <protection locked="0"/>
    </xf>
    <xf numFmtId="0" fontId="4" fillId="8" borderId="0" xfId="0" quotePrefix="1" applyNumberFormat="1" applyFont="1" applyFill="1" applyBorder="1" applyAlignment="1"/>
    <xf numFmtId="170" fontId="1" fillId="8" borderId="17" xfId="17" applyFill="1" applyAlignment="1">
      <alignment horizontal="right"/>
    </xf>
    <xf numFmtId="170" fontId="1" fillId="8" borderId="17" xfId="6" applyFill="1" applyAlignment="1">
      <alignment horizontal="right"/>
      <protection locked="0"/>
    </xf>
    <xf numFmtId="0" fontId="3" fillId="0" borderId="1" xfId="1" applyFill="1" applyAlignment="1">
      <alignment horizontal="center" vertical="center"/>
    </xf>
    <xf numFmtId="169" fontId="13" fillId="7" borderId="15" xfId="4" applyFont="1" applyFill="1">
      <alignment horizontal="center"/>
    </xf>
    <xf numFmtId="14" fontId="2" fillId="0" borderId="0" xfId="0" applyNumberFormat="1" applyFont="1" applyFill="1"/>
    <xf numFmtId="9" fontId="2" fillId="0" borderId="0" xfId="26" applyFont="1" applyFill="1"/>
    <xf numFmtId="0" fontId="4" fillId="0" borderId="6" xfId="20" applyFont="1" applyFill="1" applyBorder="1"/>
    <xf numFmtId="0" fontId="20" fillId="0" borderId="0" xfId="0" quotePrefix="1" applyNumberFormat="1" applyFont="1" applyFill="1" applyBorder="1" applyAlignment="1">
      <alignment wrapText="1"/>
    </xf>
    <xf numFmtId="0" fontId="20" fillId="0" borderId="0" xfId="0" quotePrefix="1" applyNumberFormat="1" applyFont="1" applyBorder="1" applyAlignment="1">
      <alignment wrapText="1"/>
    </xf>
    <xf numFmtId="0" fontId="20" fillId="9" borderId="0" xfId="0" quotePrefix="1" applyNumberFormat="1" applyFont="1" applyFill="1" applyBorder="1" applyAlignment="1">
      <alignment wrapText="1"/>
    </xf>
    <xf numFmtId="0" fontId="13" fillId="9" borderId="0" xfId="0" quotePrefix="1" applyNumberFormat="1" applyFont="1" applyFill="1" applyBorder="1" applyAlignment="1">
      <alignment vertical="top"/>
    </xf>
    <xf numFmtId="0" fontId="13" fillId="7" borderId="0" xfId="0" quotePrefix="1" applyNumberFormat="1" applyFont="1" applyFill="1" applyBorder="1" applyAlignment="1">
      <alignment vertical="top"/>
    </xf>
    <xf numFmtId="14" fontId="13" fillId="7" borderId="0" xfId="0" quotePrefix="1" applyNumberFormat="1" applyFont="1" applyFill="1" applyBorder="1" applyAlignment="1">
      <alignment vertical="top"/>
    </xf>
    <xf numFmtId="0" fontId="13" fillId="0" borderId="0" xfId="0" quotePrefix="1" applyNumberFormat="1" applyFont="1" applyBorder="1" applyAlignment="1">
      <alignment wrapText="1"/>
    </xf>
    <xf numFmtId="0" fontId="13" fillId="0" borderId="0" xfId="0" quotePrefix="1" applyNumberFormat="1" applyFont="1" applyBorder="1" applyAlignment="1">
      <alignment horizontal="left"/>
    </xf>
    <xf numFmtId="0" fontId="13" fillId="0" borderId="0" xfId="0" quotePrefix="1" applyNumberFormat="1" applyFont="1" applyFill="1" applyBorder="1" applyAlignment="1">
      <alignment wrapText="1"/>
    </xf>
    <xf numFmtId="0" fontId="13" fillId="0" borderId="0" xfId="0" quotePrefix="1" applyNumberFormat="1" applyFont="1" applyFill="1" applyBorder="1" applyAlignment="1">
      <alignment horizontal="left"/>
    </xf>
    <xf numFmtId="0" fontId="13" fillId="9" borderId="0" xfId="0" quotePrefix="1" applyNumberFormat="1" applyFont="1" applyFill="1" applyBorder="1" applyAlignment="1">
      <alignment horizontal="left" wrapText="1"/>
    </xf>
    <xf numFmtId="0" fontId="13" fillId="7" borderId="0" xfId="0" quotePrefix="1" applyNumberFormat="1" applyFont="1" applyFill="1" applyBorder="1" applyAlignment="1">
      <alignment horizontal="left" vertical="top" wrapText="1"/>
    </xf>
    <xf numFmtId="0" fontId="13" fillId="7" borderId="0" xfId="0" quotePrefix="1" applyNumberFormat="1" applyFont="1" applyFill="1" applyBorder="1" applyAlignment="1">
      <alignment horizontal="left" wrapText="1"/>
    </xf>
    <xf numFmtId="169" fontId="0" fillId="3" borderId="10" xfId="4" applyFont="1" applyFill="1" applyBorder="1">
      <alignment horizontal="center"/>
    </xf>
    <xf numFmtId="169" fontId="0" fillId="8" borderId="15" xfId="4" applyFont="1" applyFill="1">
      <alignment horizontal="center"/>
    </xf>
    <xf numFmtId="0" fontId="6" fillId="8" borderId="0" xfId="0" applyFont="1" applyFill="1"/>
    <xf numFmtId="0" fontId="3" fillId="8" borderId="21" xfId="1" applyFill="1" applyBorder="1">
      <alignment horizontal="center" vertical="center"/>
    </xf>
    <xf numFmtId="0" fontId="4" fillId="0" borderId="0" xfId="0" applyFont="1" applyFill="1" applyBorder="1" applyAlignment="1"/>
    <xf numFmtId="0" fontId="14" fillId="0" borderId="0" xfId="0" quotePrefix="1" applyFont="1"/>
    <xf numFmtId="170" fontId="14" fillId="0" borderId="15" xfId="7" applyNumberFormat="1" applyFont="1" applyFill="1">
      <alignment vertical="center"/>
    </xf>
    <xf numFmtId="0" fontId="4" fillId="9" borderId="6" xfId="0" applyFont="1" applyFill="1" applyBorder="1" applyAlignment="1" applyProtection="1">
      <alignment horizontal="center" vertical="center"/>
    </xf>
    <xf numFmtId="0" fontId="4" fillId="0" borderId="5" xfId="0" applyFont="1" applyBorder="1" applyAlignment="1">
      <alignment horizontal="center" vertical="center"/>
    </xf>
    <xf numFmtId="14" fontId="4" fillId="0" borderId="6" xfId="0" applyNumberFormat="1" applyFont="1" applyBorder="1" applyAlignment="1">
      <alignment horizontal="center" vertical="center"/>
    </xf>
    <xf numFmtId="0" fontId="4" fillId="0" borderId="0" xfId="0" applyFont="1"/>
    <xf numFmtId="0" fontId="0" fillId="0" borderId="0" xfId="0" applyFont="1" applyAlignment="1">
      <alignment horizontal="right"/>
    </xf>
    <xf numFmtId="0" fontId="4" fillId="0" borderId="0" xfId="0" applyFont="1" applyAlignment="1">
      <alignment horizontal="center" vertical="top"/>
    </xf>
    <xf numFmtId="0" fontId="4" fillId="0" borderId="0" xfId="0" applyFont="1" applyAlignment="1">
      <alignment horizontal="left" vertical="center"/>
    </xf>
    <xf numFmtId="0" fontId="0" fillId="0" borderId="13" xfId="0" applyFont="1" applyBorder="1"/>
    <xf numFmtId="0" fontId="4" fillId="0" borderId="13" xfId="0" applyFont="1" applyBorder="1" applyAlignment="1">
      <alignment horizontal="left" vertical="center"/>
    </xf>
    <xf numFmtId="0" fontId="0" fillId="0" borderId="25" xfId="0" applyFont="1" applyBorder="1" applyAlignment="1">
      <alignment horizontal="center" vertical="top"/>
    </xf>
    <xf numFmtId="0" fontId="0" fillId="0" borderId="25" xfId="0" applyFont="1" applyBorder="1"/>
    <xf numFmtId="0" fontId="0" fillId="0" borderId="8" xfId="0" applyFont="1" applyBorder="1" applyAlignment="1">
      <alignment horizontal="center"/>
    </xf>
    <xf numFmtId="0" fontId="3" fillId="2" borderId="1" xfId="1" applyFont="1">
      <alignment horizontal="center" vertical="center"/>
    </xf>
    <xf numFmtId="170" fontId="0" fillId="0" borderId="16" xfId="6" applyFont="1" applyFill="1" applyBorder="1">
      <protection locked="0"/>
    </xf>
    <xf numFmtId="170" fontId="0" fillId="0" borderId="17" xfId="6" applyFont="1">
      <protection locked="0"/>
    </xf>
    <xf numFmtId="14" fontId="14" fillId="0" borderId="0" xfId="0" quotePrefix="1" applyNumberFormat="1" applyFont="1" applyBorder="1"/>
    <xf numFmtId="170" fontId="0" fillId="0" borderId="16" xfId="5" applyFont="1"/>
    <xf numFmtId="0" fontId="0" fillId="0" borderId="0" xfId="0" quotePrefix="1" applyFont="1" applyBorder="1"/>
    <xf numFmtId="0" fontId="0" fillId="0" borderId="0" xfId="0" quotePrefix="1" applyFont="1" applyFill="1" applyBorder="1"/>
    <xf numFmtId="0" fontId="0" fillId="0" borderId="0" xfId="0" quotePrefix="1" applyFont="1"/>
    <xf numFmtId="176" fontId="14" fillId="13" borderId="15" xfId="7" applyNumberFormat="1" applyFont="1" applyFill="1" applyAlignment="1">
      <alignment horizontal="center"/>
    </xf>
    <xf numFmtId="171" fontId="0" fillId="13" borderId="15" xfId="8" applyNumberFormat="1" applyFont="1" applyFill="1">
      <alignment vertical="center"/>
    </xf>
    <xf numFmtId="170" fontId="0" fillId="13" borderId="15" xfId="7" applyNumberFormat="1" applyFont="1" applyFill="1">
      <alignment vertical="center"/>
    </xf>
    <xf numFmtId="188" fontId="0" fillId="13" borderId="15" xfId="7" applyNumberFormat="1" applyFont="1" applyFill="1" applyAlignment="1">
      <alignment horizontal="center" vertical="center"/>
    </xf>
    <xf numFmtId="176" fontId="0" fillId="13" borderId="15" xfId="7" applyNumberFormat="1" applyFont="1" applyFill="1" applyAlignment="1">
      <alignment horizontal="center"/>
    </xf>
    <xf numFmtId="0" fontId="0" fillId="13" borderId="0" xfId="0" applyFont="1" applyFill="1"/>
    <xf numFmtId="171" fontId="0" fillId="13" borderId="15" xfId="7" applyNumberFormat="1" applyFont="1" applyFill="1">
      <alignment vertical="center"/>
    </xf>
    <xf numFmtId="171" fontId="0" fillId="13" borderId="15" xfId="7" applyNumberFormat="1" applyFont="1" applyFill="1" applyBorder="1">
      <alignment vertical="center"/>
    </xf>
    <xf numFmtId="177" fontId="14" fillId="13" borderId="15" xfId="7" applyNumberFormat="1" applyFont="1" applyFill="1" applyAlignment="1">
      <alignment horizontal="center"/>
    </xf>
    <xf numFmtId="176" fontId="2" fillId="13" borderId="15" xfId="7" quotePrefix="1" applyNumberFormat="1" applyFont="1" applyFill="1" applyAlignment="1">
      <alignment horizontal="center"/>
    </xf>
    <xf numFmtId="177" fontId="0" fillId="13" borderId="15" xfId="7" applyNumberFormat="1" applyFont="1" applyFill="1" applyAlignment="1">
      <alignment horizontal="center"/>
    </xf>
    <xf numFmtId="176" fontId="0" fillId="13" borderId="15" xfId="7" applyNumberFormat="1" applyFont="1" applyFill="1">
      <alignment vertical="center"/>
    </xf>
    <xf numFmtId="184" fontId="0" fillId="13" borderId="15" xfId="8" applyNumberFormat="1" applyFont="1" applyFill="1" applyAlignment="1">
      <alignment horizontal="center" vertical="center"/>
    </xf>
    <xf numFmtId="176" fontId="0" fillId="13" borderId="15" xfId="7" applyNumberFormat="1" applyFont="1" applyFill="1" applyBorder="1" applyAlignment="1">
      <alignment horizontal="center"/>
    </xf>
    <xf numFmtId="171" fontId="0" fillId="13" borderId="0" xfId="7" applyNumberFormat="1" applyFont="1" applyFill="1" applyBorder="1">
      <alignment vertical="center"/>
    </xf>
    <xf numFmtId="0" fontId="0" fillId="0" borderId="15" xfId="0" applyFont="1" applyBorder="1"/>
    <xf numFmtId="14" fontId="0" fillId="0" borderId="0" xfId="0" quotePrefix="1" applyNumberFormat="1" applyFont="1" applyBorder="1"/>
    <xf numFmtId="171" fontId="1" fillId="13" borderId="15" xfId="7" applyNumberFormat="1" applyFont="1" applyFill="1">
      <alignment vertical="center"/>
    </xf>
    <xf numFmtId="170" fontId="1" fillId="0" borderId="17" xfId="6" applyFont="1">
      <protection locked="0"/>
    </xf>
    <xf numFmtId="176" fontId="1" fillId="13" borderId="15" xfId="7" applyNumberFormat="1" applyFont="1" applyFill="1" applyAlignment="1">
      <alignment horizontal="center"/>
    </xf>
    <xf numFmtId="0" fontId="4" fillId="0" borderId="0" xfId="0" applyFont="1" applyFill="1" applyAlignment="1">
      <alignment horizontal="left"/>
    </xf>
    <xf numFmtId="0" fontId="0" fillId="0" borderId="0" xfId="0"/>
    <xf numFmtId="0" fontId="14" fillId="16" borderId="15" xfId="0" applyFont="1" applyFill="1" applyBorder="1" applyAlignment="1">
      <alignment horizontal="left"/>
    </xf>
    <xf numFmtId="171" fontId="0" fillId="16" borderId="15" xfId="7" applyNumberFormat="1" applyFont="1" applyFill="1">
      <alignment vertical="center"/>
    </xf>
    <xf numFmtId="0" fontId="11" fillId="9" borderId="6" xfId="20" applyFont="1" applyFill="1" applyBorder="1" applyAlignment="1">
      <alignment horizontal="center" vertical="center"/>
    </xf>
    <xf numFmtId="0" fontId="9" fillId="0" borderId="0" xfId="20" applyFont="1"/>
    <xf numFmtId="0" fontId="12" fillId="0" borderId="0" xfId="20" applyFont="1"/>
    <xf numFmtId="0" fontId="2" fillId="0" borderId="13" xfId="20" applyFont="1" applyBorder="1" applyAlignment="1">
      <alignment vertical="center"/>
    </xf>
    <xf numFmtId="0" fontId="2" fillId="0" borderId="25" xfId="20" applyFont="1" applyBorder="1" applyAlignment="1">
      <alignment horizontal="center"/>
    </xf>
    <xf numFmtId="0" fontId="2" fillId="0" borderId="8" xfId="20" applyFont="1" applyBorder="1" applyAlignment="1">
      <alignment vertical="center"/>
    </xf>
    <xf numFmtId="0" fontId="2" fillId="0" borderId="14" xfId="20" applyFont="1" applyBorder="1" applyAlignment="1">
      <alignment vertical="center"/>
    </xf>
    <xf numFmtId="0" fontId="2" fillId="0" borderId="11" xfId="20" quotePrefix="1" applyFont="1" applyBorder="1"/>
    <xf numFmtId="169" fontId="1" fillId="13" borderId="15" xfId="4" applyFill="1">
      <alignment horizontal="center"/>
    </xf>
    <xf numFmtId="0" fontId="10" fillId="0" borderId="14" xfId="20" quotePrefix="1" applyFont="1" applyBorder="1" applyAlignment="1">
      <alignment horizontal="left" wrapText="1"/>
    </xf>
    <xf numFmtId="0" fontId="2" fillId="11" borderId="11" xfId="20" quotePrefix="1" applyFont="1" applyFill="1" applyBorder="1"/>
    <xf numFmtId="170" fontId="1" fillId="9" borderId="17" xfId="17" applyFill="1"/>
    <xf numFmtId="174" fontId="2" fillId="9" borderId="32" xfId="18" applyFill="1">
      <alignment horizontal="right"/>
    </xf>
    <xf numFmtId="174" fontId="2" fillId="12" borderId="32" xfId="18">
      <alignment horizontal="right"/>
    </xf>
    <xf numFmtId="0" fontId="2" fillId="7" borderId="11" xfId="20" quotePrefix="1" applyFont="1" applyFill="1" applyBorder="1"/>
    <xf numFmtId="0" fontId="2" fillId="0" borderId="8" xfId="20" quotePrefix="1" applyFont="1" applyBorder="1" applyAlignment="1">
      <alignment vertical="center"/>
    </xf>
    <xf numFmtId="0" fontId="1" fillId="0" borderId="30" xfId="20" applyBorder="1"/>
    <xf numFmtId="0" fontId="1" fillId="0" borderId="8" xfId="20" applyBorder="1"/>
    <xf numFmtId="0" fontId="2" fillId="0" borderId="0" xfId="20" quotePrefix="1" applyFont="1" applyAlignment="1">
      <alignment vertical="center"/>
    </xf>
    <xf numFmtId="2" fontId="2" fillId="0" borderId="0" xfId="20" applyNumberFormat="1" applyFont="1"/>
    <xf numFmtId="0" fontId="7" fillId="0" borderId="0" xfId="20" applyFont="1" applyAlignment="1">
      <alignment horizontal="right"/>
    </xf>
    <xf numFmtId="0" fontId="2" fillId="0" borderId="0" xfId="20" quotePrefix="1" applyFont="1" applyAlignment="1">
      <alignment horizontal="right" vertical="center"/>
    </xf>
    <xf numFmtId="0" fontId="2" fillId="0" borderId="0" xfId="20" applyFont="1" applyAlignment="1">
      <alignment horizontal="center"/>
    </xf>
    <xf numFmtId="0" fontId="2" fillId="0" borderId="9" xfId="20" applyFont="1" applyBorder="1" applyAlignment="1">
      <alignment vertical="center"/>
    </xf>
    <xf numFmtId="183" fontId="5" fillId="0" borderId="7" xfId="20" applyNumberFormat="1" applyFont="1" applyBorder="1" applyAlignment="1">
      <alignment horizontal="left"/>
    </xf>
    <xf numFmtId="175" fontId="5" fillId="0" borderId="0" xfId="20" applyNumberFormat="1" applyFont="1" applyAlignment="1">
      <alignment horizontal="left"/>
    </xf>
    <xf numFmtId="9" fontId="13" fillId="7" borderId="18" xfId="3" applyNumberFormat="1" applyFont="1" applyFill="1" applyBorder="1" applyAlignment="1">
      <alignment horizontal="left" wrapText="1"/>
    </xf>
    <xf numFmtId="0" fontId="2" fillId="8" borderId="0" xfId="20" applyNumberFormat="1" applyFont="1" applyFill="1" applyAlignment="1">
      <alignment vertical="center"/>
    </xf>
    <xf numFmtId="0" fontId="2" fillId="8" borderId="0" xfId="20" applyFont="1" applyFill="1" applyAlignment="1">
      <alignment horizontal="right" vertical="center"/>
    </xf>
    <xf numFmtId="0" fontId="11" fillId="8" borderId="6" xfId="20" applyFont="1" applyFill="1" applyBorder="1" applyAlignment="1" applyProtection="1">
      <alignment horizontal="center" vertical="center"/>
    </xf>
    <xf numFmtId="0" fontId="2" fillId="8" borderId="0" xfId="20" applyFont="1" applyFill="1" applyAlignment="1">
      <alignment vertical="center"/>
    </xf>
    <xf numFmtId="0" fontId="1" fillId="8" borderId="0" xfId="20" applyFill="1"/>
    <xf numFmtId="0" fontId="2" fillId="8" borderId="0" xfId="20" applyNumberFormat="1" applyFont="1" applyFill="1" applyBorder="1" applyAlignment="1">
      <alignment vertical="center"/>
    </xf>
    <xf numFmtId="0" fontId="2" fillId="8" borderId="0" xfId="20" applyFont="1" applyFill="1" applyBorder="1"/>
    <xf numFmtId="0" fontId="11" fillId="8" borderId="5" xfId="20" applyFont="1" applyFill="1" applyBorder="1" applyAlignment="1">
      <alignment horizontal="center" vertical="center"/>
    </xf>
    <xf numFmtId="14" fontId="11" fillId="8" borderId="6" xfId="20" applyNumberFormat="1" applyFont="1" applyFill="1" applyBorder="1" applyAlignment="1">
      <alignment horizontal="center" vertical="center"/>
    </xf>
    <xf numFmtId="0" fontId="2" fillId="8" borderId="0" xfId="0" quotePrefix="1" applyNumberFormat="1" applyFont="1" applyFill="1" applyBorder="1" applyAlignment="1">
      <alignment vertical="center"/>
    </xf>
    <xf numFmtId="0" fontId="7" fillId="8" borderId="0" xfId="0" applyFont="1" applyFill="1" applyBorder="1" applyAlignment="1">
      <alignment horizontal="right"/>
    </xf>
    <xf numFmtId="0" fontId="2" fillId="8" borderId="13" xfId="20" applyNumberFormat="1" applyFont="1" applyFill="1" applyBorder="1" applyAlignment="1">
      <alignment vertical="center"/>
    </xf>
    <xf numFmtId="0" fontId="13" fillId="8" borderId="13" xfId="20" applyFont="1" applyFill="1" applyBorder="1" applyAlignment="1">
      <alignment vertical="center"/>
    </xf>
    <xf numFmtId="0" fontId="11" fillId="8" borderId="13" xfId="20" applyFont="1" applyFill="1" applyBorder="1" applyAlignment="1">
      <alignment horizontal="left" vertical="center"/>
    </xf>
    <xf numFmtId="0" fontId="2" fillId="8" borderId="13" xfId="20" applyFont="1" applyFill="1" applyBorder="1"/>
    <xf numFmtId="0" fontId="2" fillId="8" borderId="12" xfId="20" applyFont="1" applyFill="1" applyBorder="1"/>
    <xf numFmtId="0" fontId="1" fillId="8" borderId="25" xfId="20" applyFill="1" applyBorder="1"/>
    <xf numFmtId="0" fontId="13" fillId="8" borderId="0" xfId="20" applyFont="1" applyFill="1" applyBorder="1" applyAlignment="1">
      <alignment vertical="center"/>
    </xf>
    <xf numFmtId="0" fontId="11" fillId="8" borderId="0" xfId="20" applyFont="1" applyFill="1" applyBorder="1" applyAlignment="1">
      <alignment horizontal="left" vertical="center"/>
    </xf>
    <xf numFmtId="0" fontId="2" fillId="8" borderId="10" xfId="20" applyFont="1" applyFill="1" applyBorder="1"/>
    <xf numFmtId="0" fontId="1" fillId="8" borderId="15" xfId="20" applyFill="1" applyBorder="1"/>
    <xf numFmtId="0" fontId="2" fillId="8" borderId="8" xfId="20" applyNumberFormat="1" applyFont="1" applyFill="1" applyBorder="1" applyAlignment="1">
      <alignment vertical="center"/>
    </xf>
    <xf numFmtId="0" fontId="2" fillId="8" borderId="7" xfId="20" applyFont="1" applyFill="1" applyBorder="1" applyAlignment="1">
      <alignment horizontal="center"/>
    </xf>
    <xf numFmtId="0" fontId="0" fillId="8" borderId="5" xfId="2" applyFont="1" applyFill="1" applyBorder="1" applyAlignment="1">
      <alignment horizontal="center" vertical="center" wrapText="1"/>
    </xf>
    <xf numFmtId="0" fontId="2" fillId="8" borderId="9" xfId="2" applyFont="1" applyFill="1" applyBorder="1" applyAlignment="1">
      <alignment horizontal="center" vertical="center" wrapText="1"/>
    </xf>
    <xf numFmtId="0" fontId="1" fillId="8" borderId="5" xfId="20" applyFill="1" applyBorder="1"/>
    <xf numFmtId="0" fontId="2" fillId="8" borderId="0" xfId="20" applyFont="1" applyFill="1" applyBorder="1" applyAlignment="1">
      <alignment vertical="center"/>
    </xf>
    <xf numFmtId="0" fontId="11" fillId="8" borderId="22" xfId="0" applyFont="1" applyFill="1" applyBorder="1" applyAlignment="1">
      <alignment horizontal="left" wrapText="1"/>
    </xf>
    <xf numFmtId="0" fontId="2" fillId="8" borderId="10" xfId="20" applyFont="1" applyFill="1" applyBorder="1" applyAlignment="1">
      <alignment horizontal="center"/>
    </xf>
    <xf numFmtId="0" fontId="0" fillId="8" borderId="15" xfId="2" applyFont="1" applyFill="1" applyBorder="1" applyAlignment="1">
      <alignment horizontal="center" vertical="center" wrapText="1"/>
    </xf>
    <xf numFmtId="0" fontId="2" fillId="8" borderId="11" xfId="20" quotePrefix="1" applyNumberFormat="1" applyFont="1" applyFill="1" applyBorder="1" applyAlignment="1"/>
    <xf numFmtId="170" fontId="0" fillId="8" borderId="17" xfId="17" applyFont="1" applyFill="1"/>
    <xf numFmtId="0" fontId="2" fillId="8" borderId="19" xfId="20" applyFont="1" applyFill="1" applyBorder="1" applyAlignment="1">
      <alignment horizontal="left" wrapText="1" indent="2"/>
    </xf>
    <xf numFmtId="0" fontId="2" fillId="8" borderId="0" xfId="20" quotePrefix="1" applyNumberFormat="1" applyFont="1" applyFill="1" applyBorder="1" applyAlignment="1">
      <alignment horizontal="right" vertical="center"/>
    </xf>
    <xf numFmtId="0" fontId="2" fillId="8" borderId="14" xfId="20" applyNumberFormat="1" applyFont="1" applyFill="1" applyBorder="1" applyAlignment="1">
      <alignment vertical="center"/>
    </xf>
    <xf numFmtId="0" fontId="2" fillId="8" borderId="13" xfId="20" applyFont="1" applyFill="1" applyBorder="1" applyAlignment="1">
      <alignment horizontal="center"/>
    </xf>
    <xf numFmtId="0" fontId="2" fillId="8" borderId="13" xfId="20" applyFont="1" applyFill="1" applyBorder="1" applyAlignment="1">
      <alignment horizontal="right"/>
    </xf>
    <xf numFmtId="167" fontId="2" fillId="8" borderId="12" xfId="20" applyNumberFormat="1" applyFont="1" applyFill="1" applyBorder="1" applyAlignment="1">
      <alignment horizontal="left"/>
    </xf>
    <xf numFmtId="0" fontId="2" fillId="8" borderId="11" xfId="20" applyNumberFormat="1" applyFont="1" applyFill="1" applyBorder="1" applyAlignment="1">
      <alignment vertical="center"/>
    </xf>
    <xf numFmtId="0" fontId="2" fillId="8" borderId="0" xfId="20" applyFont="1" applyFill="1" applyBorder="1" applyAlignment="1">
      <alignment horizontal="center"/>
    </xf>
    <xf numFmtId="14" fontId="2" fillId="8" borderId="10" xfId="20" applyNumberFormat="1" applyFont="1" applyFill="1" applyBorder="1" applyAlignment="1">
      <alignment horizontal="left"/>
    </xf>
    <xf numFmtId="2" fontId="2" fillId="8" borderId="10" xfId="20" applyNumberFormat="1" applyFont="1" applyFill="1" applyBorder="1" applyAlignment="1">
      <alignment horizontal="left"/>
    </xf>
    <xf numFmtId="165" fontId="5" fillId="8" borderId="10" xfId="20" applyNumberFormat="1" applyFont="1" applyFill="1" applyBorder="1" applyAlignment="1">
      <alignment horizontal="left"/>
    </xf>
    <xf numFmtId="0" fontId="2" fillId="8" borderId="9" xfId="20" applyNumberFormat="1" applyFont="1" applyFill="1" applyBorder="1" applyAlignment="1">
      <alignment vertical="center"/>
    </xf>
    <xf numFmtId="0" fontId="2" fillId="8" borderId="8" xfId="20" applyFont="1" applyFill="1" applyBorder="1" applyAlignment="1">
      <alignment horizontal="center"/>
    </xf>
    <xf numFmtId="0" fontId="2" fillId="8" borderId="8" xfId="20" applyFont="1" applyFill="1" applyBorder="1" applyAlignment="1">
      <alignment horizontal="right"/>
    </xf>
    <xf numFmtId="183" fontId="5" fillId="8" borderId="7" xfId="20" applyNumberFormat="1" applyFont="1" applyFill="1" applyBorder="1" applyAlignment="1" applyProtection="1">
      <alignment horizontal="left"/>
    </xf>
    <xf numFmtId="170" fontId="1" fillId="9" borderId="16" xfId="5" applyFill="1" applyBorder="1"/>
    <xf numFmtId="170" fontId="1" fillId="8" borderId="16" xfId="5" applyFill="1" applyBorder="1"/>
    <xf numFmtId="170" fontId="1" fillId="7" borderId="16" xfId="5" applyFill="1" applyBorder="1"/>
    <xf numFmtId="170" fontId="1" fillId="9" borderId="15" xfId="6" applyFill="1" applyBorder="1">
      <protection locked="0"/>
    </xf>
    <xf numFmtId="170" fontId="1" fillId="8" borderId="49" xfId="5" applyFill="1" applyBorder="1"/>
    <xf numFmtId="167" fontId="9" fillId="9" borderId="0" xfId="3" applyFont="1" applyFill="1" applyBorder="1">
      <alignment horizontal="left"/>
    </xf>
    <xf numFmtId="167" fontId="4" fillId="9" borderId="0" xfId="3" applyFont="1" applyFill="1" applyBorder="1">
      <alignment horizontal="left"/>
    </xf>
    <xf numFmtId="167" fontId="46" fillId="0" borderId="0" xfId="24" applyFont="1" applyBorder="1">
      <alignment horizontal="left"/>
    </xf>
    <xf numFmtId="167" fontId="2" fillId="7" borderId="18" xfId="3" applyFont="1" applyFill="1" applyBorder="1">
      <alignment horizontal="left"/>
    </xf>
    <xf numFmtId="0" fontId="0" fillId="0" borderId="0" xfId="0"/>
    <xf numFmtId="164" fontId="5" fillId="0" borderId="10" xfId="0" applyNumberFormat="1" applyFont="1" applyBorder="1" applyAlignment="1">
      <alignment horizontal="left"/>
    </xf>
    <xf numFmtId="164" fontId="5" fillId="6" borderId="10" xfId="0" applyNumberFormat="1" applyFont="1" applyFill="1" applyBorder="1" applyAlignment="1">
      <alignment horizontal="left"/>
    </xf>
    <xf numFmtId="175" fontId="5" fillId="6" borderId="7" xfId="0" applyNumberFormat="1" applyFont="1" applyFill="1" applyBorder="1" applyAlignment="1">
      <alignment horizontal="left"/>
    </xf>
    <xf numFmtId="175" fontId="5" fillId="0" borderId="7" xfId="0" applyNumberFormat="1" applyFont="1" applyBorder="1" applyAlignment="1" applyProtection="1">
      <alignment horizontal="left"/>
    </xf>
    <xf numFmtId="0" fontId="29" fillId="18" borderId="15" xfId="0" applyFont="1" applyFill="1" applyBorder="1" applyAlignment="1">
      <alignment horizontal="center"/>
    </xf>
    <xf numFmtId="0" fontId="3" fillId="19" borderId="1" xfId="0" applyFont="1" applyFill="1" applyBorder="1" applyAlignment="1">
      <alignment horizontal="center" vertical="center"/>
    </xf>
    <xf numFmtId="0" fontId="2" fillId="0" borderId="17" xfId="0" applyFont="1" applyBorder="1" applyAlignment="1">
      <alignment horizontal="center"/>
    </xf>
    <xf numFmtId="169" fontId="1" fillId="3" borderId="25" xfId="4" applyFill="1" applyBorder="1">
      <alignment horizontal="center"/>
    </xf>
    <xf numFmtId="0" fontId="13" fillId="10" borderId="5" xfId="2" applyFont="1" applyFill="1" applyAlignment="1">
      <alignment horizontal="center" vertical="center"/>
    </xf>
    <xf numFmtId="0" fontId="0" fillId="0" borderId="0" xfId="0"/>
    <xf numFmtId="0" fontId="0" fillId="0" borderId="0" xfId="0"/>
    <xf numFmtId="9" fontId="2" fillId="8" borderId="22" xfId="3" applyNumberFormat="1" applyFont="1" applyFill="1" applyBorder="1" applyAlignment="1">
      <alignment horizontal="left" indent="1"/>
    </xf>
    <xf numFmtId="170" fontId="1" fillId="0" borderId="45" xfId="6" applyBorder="1">
      <protection locked="0"/>
    </xf>
    <xf numFmtId="170" fontId="1" fillId="7" borderId="45" xfId="6" applyFill="1" applyBorder="1">
      <protection locked="0"/>
    </xf>
    <xf numFmtId="170" fontId="1" fillId="7" borderId="0" xfId="6" applyFill="1" applyBorder="1">
      <protection locked="0"/>
    </xf>
    <xf numFmtId="0" fontId="0" fillId="8" borderId="0" xfId="0" quotePrefix="1" applyFill="1" applyBorder="1"/>
    <xf numFmtId="9" fontId="2" fillId="8" borderId="22" xfId="3" applyNumberFormat="1" applyFont="1" applyFill="1" applyBorder="1" applyAlignment="1">
      <alignment horizontal="left" wrapText="1" indent="1"/>
    </xf>
    <xf numFmtId="0" fontId="2" fillId="8" borderId="19" xfId="0" applyFont="1" applyFill="1" applyBorder="1" applyAlignment="1">
      <alignment horizontal="left" indent="1"/>
    </xf>
    <xf numFmtId="171" fontId="1" fillId="7" borderId="39" xfId="7" applyNumberFormat="1" applyFill="1" applyBorder="1">
      <alignment vertical="center"/>
    </xf>
    <xf numFmtId="170" fontId="1" fillId="7" borderId="36" xfId="5" applyFill="1" applyBorder="1"/>
    <xf numFmtId="170" fontId="1" fillId="0" borderId="45" xfId="5" applyFill="1" applyBorder="1"/>
    <xf numFmtId="171" fontId="1" fillId="0" borderId="50" xfId="7" applyNumberFormat="1" applyFill="1" applyBorder="1">
      <alignment vertical="center"/>
    </xf>
    <xf numFmtId="171" fontId="1" fillId="0" borderId="15" xfId="7" applyNumberFormat="1" applyFill="1" applyBorder="1">
      <alignment vertical="center"/>
    </xf>
    <xf numFmtId="171" fontId="1" fillId="0" borderId="51" xfId="7" applyNumberFormat="1" applyFill="1" applyBorder="1">
      <alignment vertical="center"/>
    </xf>
    <xf numFmtId="171" fontId="1" fillId="0" borderId="11" xfId="7" applyNumberFormat="1" applyFill="1" applyBorder="1">
      <alignment vertical="center"/>
    </xf>
    <xf numFmtId="171" fontId="1" fillId="0" borderId="52" xfId="7" applyNumberFormat="1" applyFill="1" applyBorder="1">
      <alignment vertical="center"/>
    </xf>
    <xf numFmtId="171" fontId="1" fillId="0" borderId="39" xfId="8" applyNumberFormat="1" applyFill="1" applyBorder="1">
      <alignment vertical="center"/>
    </xf>
    <xf numFmtId="171" fontId="1" fillId="0" borderId="43" xfId="7" applyNumberFormat="1" applyFill="1" applyBorder="1">
      <alignment vertical="center"/>
    </xf>
    <xf numFmtId="171" fontId="1" fillId="0" borderId="32" xfId="7" applyNumberFormat="1" applyFill="1" applyBorder="1">
      <alignment vertical="center"/>
    </xf>
    <xf numFmtId="171" fontId="1" fillId="0" borderId="53" xfId="7" applyNumberFormat="1" applyFill="1" applyBorder="1">
      <alignment vertical="center"/>
    </xf>
    <xf numFmtId="170" fontId="1" fillId="7" borderId="46" xfId="5" applyFill="1" applyBorder="1"/>
    <xf numFmtId="170" fontId="1" fillId="0" borderId="46" xfId="6" applyFill="1" applyBorder="1">
      <protection locked="0"/>
    </xf>
    <xf numFmtId="169" fontId="1" fillId="8" borderId="15" xfId="4" applyFill="1" applyBorder="1">
      <alignment horizontal="center"/>
    </xf>
    <xf numFmtId="49" fontId="2" fillId="0" borderId="0" xfId="20" applyNumberFormat="1" applyFont="1"/>
    <xf numFmtId="49" fontId="1" fillId="0" borderId="0" xfId="20" applyNumberFormat="1"/>
    <xf numFmtId="0" fontId="2" fillId="0" borderId="8" xfId="0" quotePrefix="1" applyNumberFormat="1" applyFont="1" applyBorder="1" applyAlignment="1">
      <alignment horizontal="left" vertical="center"/>
    </xf>
    <xf numFmtId="0" fontId="9" fillId="0" borderId="0" xfId="20" applyFont="1" applyFill="1" applyBorder="1"/>
    <xf numFmtId="0" fontId="45" fillId="15" borderId="14" xfId="13" applyFont="1" applyFill="1" applyBorder="1" applyAlignment="1">
      <alignment horizontal="center" vertical="top" wrapText="1"/>
    </xf>
    <xf numFmtId="0" fontId="45" fillId="15" borderId="12" xfId="13" applyFont="1" applyFill="1" applyBorder="1" applyAlignment="1">
      <alignment horizontal="center" vertical="center" wrapText="1"/>
    </xf>
    <xf numFmtId="0" fontId="45" fillId="15" borderId="7" xfId="13" applyFont="1" applyFill="1" applyBorder="1" applyAlignment="1">
      <alignment horizontal="center" vertical="center" wrapText="1"/>
    </xf>
    <xf numFmtId="0" fontId="57" fillId="16" borderId="14" xfId="13" applyFont="1" applyFill="1" applyBorder="1" applyAlignment="1">
      <alignment horizontal="left" vertical="center" wrapText="1"/>
    </xf>
    <xf numFmtId="0" fontId="57" fillId="16" borderId="9" xfId="13" applyFont="1" applyFill="1" applyBorder="1" applyAlignment="1">
      <alignment horizontal="left" vertical="center" wrapText="1"/>
    </xf>
    <xf numFmtId="0" fontId="57" fillId="16" borderId="25" xfId="13" applyFont="1" applyFill="1" applyBorder="1" applyAlignment="1">
      <alignment horizontal="left" vertical="center" wrapText="1"/>
    </xf>
    <xf numFmtId="0" fontId="57" fillId="16" borderId="5" xfId="13" applyFont="1" applyFill="1" applyBorder="1" applyAlignment="1">
      <alignment horizontal="left" vertical="center" wrapText="1"/>
    </xf>
    <xf numFmtId="167" fontId="4" fillId="9" borderId="20" xfId="3" applyFont="1" applyFill="1" applyBorder="1">
      <alignment horizontal="left"/>
    </xf>
    <xf numFmtId="14" fontId="13" fillId="7" borderId="0" xfId="0" quotePrefix="1" applyNumberFormat="1" applyFont="1" applyFill="1" applyBorder="1" applyAlignment="1">
      <alignment horizontal="left" vertical="top"/>
    </xf>
    <xf numFmtId="0" fontId="2" fillId="0" borderId="13" xfId="0" applyFont="1" applyBorder="1" applyAlignment="1">
      <alignment vertical="top"/>
    </xf>
    <xf numFmtId="0" fontId="2" fillId="0" borderId="12" xfId="0" applyFont="1" applyBorder="1" applyAlignment="1">
      <alignment vertical="top"/>
    </xf>
    <xf numFmtId="0" fontId="2" fillId="0" borderId="0" xfId="0" applyFont="1" applyAlignment="1">
      <alignment horizontal="right" vertical="top"/>
    </xf>
    <xf numFmtId="0" fontId="11" fillId="0" borderId="6" xfId="0" applyFont="1" applyBorder="1" applyAlignment="1" applyProtection="1">
      <alignment horizontal="center" vertical="top"/>
    </xf>
    <xf numFmtId="0" fontId="11" fillId="0" borderId="5" xfId="0" applyFont="1" applyBorder="1" applyAlignment="1">
      <alignment horizontal="center" vertical="top"/>
    </xf>
    <xf numFmtId="14" fontId="11" fillId="0" borderId="6" xfId="0" applyNumberFormat="1" applyFont="1" applyBorder="1" applyAlignment="1">
      <alignment horizontal="center" vertical="top"/>
    </xf>
    <xf numFmtId="0" fontId="11" fillId="0" borderId="0" xfId="0" applyFont="1" applyAlignment="1">
      <alignment horizontal="left" vertical="top"/>
    </xf>
    <xf numFmtId="0" fontId="11" fillId="0" borderId="13" xfId="0" applyFont="1" applyBorder="1" applyAlignment="1">
      <alignment horizontal="left" vertical="top"/>
    </xf>
    <xf numFmtId="0" fontId="0" fillId="0" borderId="25" xfId="0" applyBorder="1" applyAlignment="1">
      <alignment vertical="top"/>
    </xf>
    <xf numFmtId="0" fontId="2" fillId="0" borderId="8" xfId="0" applyFont="1" applyBorder="1" applyAlignment="1">
      <alignment horizontal="center" vertical="top"/>
    </xf>
    <xf numFmtId="0" fontId="2" fillId="0" borderId="7" xfId="0" applyFont="1" applyBorder="1" applyAlignment="1">
      <alignment horizontal="center" vertical="top"/>
    </xf>
    <xf numFmtId="0" fontId="1" fillId="0" borderId="9" xfId="2" applyBorder="1" applyAlignment="1">
      <alignment horizontal="center" vertical="top"/>
    </xf>
    <xf numFmtId="0" fontId="0" fillId="0" borderId="5" xfId="0" applyBorder="1" applyAlignment="1">
      <alignment vertical="top"/>
    </xf>
    <xf numFmtId="171" fontId="2" fillId="0" borderId="15" xfId="8" applyNumberFormat="1" applyFont="1" applyAlignment="1">
      <alignment vertical="top"/>
    </xf>
    <xf numFmtId="169" fontId="1" fillId="3" borderId="15" xfId="4" applyAlignment="1">
      <alignment horizontal="center" vertical="top"/>
    </xf>
    <xf numFmtId="0" fontId="10" fillId="0" borderId="0" xfId="0" applyNumberFormat="1" applyFont="1" applyBorder="1" applyAlignment="1">
      <alignment horizontal="left" vertical="top" wrapText="1"/>
    </xf>
    <xf numFmtId="170" fontId="1" fillId="0" borderId="16" xfId="5" applyAlignment="1">
      <alignment vertical="top"/>
    </xf>
    <xf numFmtId="170" fontId="2" fillId="0" borderId="17" xfId="6" applyFont="1" applyAlignment="1">
      <alignment vertical="top"/>
      <protection locked="0"/>
    </xf>
    <xf numFmtId="0" fontId="2" fillId="7" borderId="10" xfId="0" applyFont="1" applyFill="1" applyBorder="1" applyAlignment="1">
      <alignment vertical="top"/>
    </xf>
    <xf numFmtId="170" fontId="2" fillId="7" borderId="17" xfId="6" applyFont="1" applyFill="1" applyAlignment="1">
      <alignment vertical="top"/>
      <protection locked="0"/>
    </xf>
    <xf numFmtId="169" fontId="0" fillId="7" borderId="15" xfId="4" applyFont="1" applyFill="1" applyAlignment="1">
      <alignment horizontal="center" vertical="top"/>
    </xf>
    <xf numFmtId="170" fontId="1" fillId="0" borderId="17" xfId="6" applyAlignment="1">
      <alignment vertical="top"/>
      <protection locked="0"/>
    </xf>
    <xf numFmtId="0" fontId="1" fillId="0" borderId="30" xfId="8" applyNumberFormat="1" applyFont="1" applyBorder="1" applyAlignment="1">
      <alignment vertical="top"/>
    </xf>
    <xf numFmtId="169" fontId="1" fillId="0" borderId="8" xfId="4" applyFill="1" applyBorder="1" applyAlignment="1">
      <alignment horizontal="center" vertical="top"/>
    </xf>
    <xf numFmtId="0" fontId="2" fillId="0" borderId="0" xfId="0" applyFont="1" applyFill="1" applyBorder="1" applyAlignment="1">
      <alignment vertical="top"/>
    </xf>
    <xf numFmtId="170" fontId="1" fillId="7" borderId="17" xfId="6" applyFill="1" applyAlignment="1">
      <alignment vertical="top"/>
      <protection locked="0"/>
    </xf>
    <xf numFmtId="0" fontId="2" fillId="8" borderId="10" xfId="0" applyFont="1" applyFill="1" applyBorder="1" applyAlignment="1">
      <alignment vertical="top"/>
    </xf>
    <xf numFmtId="170" fontId="2" fillId="8" borderId="17" xfId="6" applyFont="1" applyFill="1" applyAlignment="1">
      <alignment vertical="top"/>
      <protection locked="0"/>
    </xf>
    <xf numFmtId="169" fontId="1" fillId="8" borderId="15" xfId="4" applyFill="1" applyAlignment="1">
      <alignment horizontal="center" vertical="top"/>
    </xf>
    <xf numFmtId="170" fontId="1" fillId="8" borderId="17" xfId="6" applyFill="1" applyAlignment="1">
      <alignment vertical="top"/>
      <protection locked="0"/>
    </xf>
    <xf numFmtId="0" fontId="2" fillId="7" borderId="0" xfId="0" applyFont="1" applyFill="1" applyBorder="1" applyAlignment="1">
      <alignment vertical="top"/>
    </xf>
    <xf numFmtId="170" fontId="1" fillId="7" borderId="16" xfId="5" applyFill="1" applyAlignment="1">
      <alignment vertical="top"/>
    </xf>
    <xf numFmtId="0" fontId="10" fillId="8" borderId="0" xfId="0" applyNumberFormat="1" applyFont="1" applyFill="1" applyBorder="1" applyAlignment="1">
      <alignment horizontal="left" vertical="top" wrapText="1"/>
    </xf>
    <xf numFmtId="0" fontId="10" fillId="8" borderId="22" xfId="0" applyFont="1" applyFill="1" applyBorder="1" applyAlignment="1">
      <alignment vertical="top" wrapText="1"/>
    </xf>
    <xf numFmtId="0" fontId="2" fillId="8" borderId="22" xfId="0" applyFont="1" applyFill="1" applyBorder="1" applyAlignment="1">
      <alignment vertical="top"/>
    </xf>
    <xf numFmtId="174" fontId="2" fillId="8" borderId="31" xfId="12" applyFill="1" applyAlignment="1">
      <alignment horizontal="right" vertical="top"/>
    </xf>
    <xf numFmtId="0" fontId="2" fillId="8" borderId="0" xfId="0" applyFont="1" applyFill="1" applyBorder="1" applyAlignment="1">
      <alignment vertical="top"/>
    </xf>
    <xf numFmtId="0" fontId="0" fillId="0" borderId="30" xfId="0" applyBorder="1" applyAlignment="1">
      <alignment vertical="top"/>
    </xf>
    <xf numFmtId="0" fontId="0" fillId="0" borderId="8" xfId="0" applyBorder="1" applyAlignment="1">
      <alignment vertical="top"/>
    </xf>
    <xf numFmtId="2" fontId="2" fillId="0" borderId="0" xfId="0" applyNumberFormat="1" applyFont="1" applyAlignment="1">
      <alignment vertical="top"/>
    </xf>
    <xf numFmtId="0" fontId="7" fillId="0" borderId="0" xfId="0" applyFont="1" applyBorder="1" applyAlignment="1">
      <alignment horizontal="right" vertical="top"/>
    </xf>
    <xf numFmtId="0" fontId="2" fillId="0" borderId="13" xfId="0" applyFont="1" applyBorder="1" applyAlignment="1">
      <alignment horizontal="center" vertical="top"/>
    </xf>
    <xf numFmtId="0" fontId="2" fillId="0" borderId="13" xfId="0" applyFont="1" applyBorder="1" applyAlignment="1">
      <alignment horizontal="right" vertical="top"/>
    </xf>
    <xf numFmtId="167" fontId="2" fillId="0" borderId="12" xfId="0" applyNumberFormat="1" applyFont="1" applyBorder="1" applyAlignment="1">
      <alignment horizontal="left" vertical="top"/>
    </xf>
    <xf numFmtId="0" fontId="2" fillId="0" borderId="0" xfId="0" applyFont="1" applyBorder="1" applyAlignment="1">
      <alignment horizontal="center" vertical="top"/>
    </xf>
    <xf numFmtId="14" fontId="2" fillId="0" borderId="10" xfId="0" applyNumberFormat="1" applyFont="1" applyBorder="1" applyAlignment="1">
      <alignment horizontal="left" vertical="top"/>
    </xf>
    <xf numFmtId="2" fontId="2" fillId="0" borderId="10" xfId="0" applyNumberFormat="1" applyFont="1" applyBorder="1" applyAlignment="1">
      <alignment horizontal="left" vertical="top"/>
    </xf>
    <xf numFmtId="165" fontId="5" fillId="0" borderId="7" xfId="0" applyNumberFormat="1" applyFont="1" applyBorder="1" applyAlignment="1">
      <alignment horizontal="left" vertical="top"/>
    </xf>
    <xf numFmtId="0" fontId="2" fillId="0" borderId="0" xfId="0" applyFont="1" applyBorder="1" applyAlignment="1">
      <alignment horizontal="right" vertical="top"/>
    </xf>
    <xf numFmtId="0" fontId="0" fillId="0" borderId="0" xfId="0"/>
    <xf numFmtId="0" fontId="0" fillId="0" borderId="0" xfId="0" applyAlignment="1">
      <alignment wrapText="1"/>
    </xf>
    <xf numFmtId="0" fontId="9" fillId="0" borderId="0" xfId="0" applyFont="1"/>
    <xf numFmtId="0" fontId="12" fillId="0" borderId="0" xfId="0" applyFont="1" applyAlignment="1">
      <alignment vertical="center"/>
    </xf>
    <xf numFmtId="167" fontId="4" fillId="16" borderId="22" xfId="11" applyFill="1" applyBorder="1">
      <alignment horizontal="left"/>
    </xf>
    <xf numFmtId="167" fontId="4" fillId="16" borderId="34" xfId="11" applyFill="1" applyBorder="1">
      <alignment horizontal="left"/>
    </xf>
    <xf numFmtId="167" fontId="4" fillId="16" borderId="36" xfId="11" applyFill="1" applyBorder="1">
      <alignment horizontal="left"/>
    </xf>
    <xf numFmtId="167" fontId="4" fillId="16" borderId="39" xfId="11" applyFill="1" applyBorder="1">
      <alignment horizontal="left"/>
    </xf>
    <xf numFmtId="0" fontId="0" fillId="7" borderId="13" xfId="0" applyFill="1" applyBorder="1" applyAlignment="1">
      <alignment horizontal="left"/>
    </xf>
    <xf numFmtId="0" fontId="0" fillId="7" borderId="0" xfId="0" applyFill="1" applyAlignment="1">
      <alignment horizontal="left"/>
    </xf>
    <xf numFmtId="0" fontId="0" fillId="0" borderId="25" xfId="0" applyBorder="1" applyAlignment="1">
      <alignment horizontal="center"/>
    </xf>
    <xf numFmtId="0" fontId="0" fillId="0" borderId="5" xfId="0" applyBorder="1" applyAlignment="1">
      <alignment horizontal="center"/>
    </xf>
    <xf numFmtId="167" fontId="4" fillId="16" borderId="17" xfId="11" applyFill="1" applyBorder="1">
      <alignment horizontal="left"/>
    </xf>
    <xf numFmtId="0" fontId="0" fillId="16" borderId="0" xfId="0" applyFill="1"/>
    <xf numFmtId="1" fontId="2" fillId="0" borderId="0" xfId="0" applyNumberFormat="1" applyFont="1"/>
    <xf numFmtId="174" fontId="2" fillId="7" borderId="32" xfId="18" applyFill="1">
      <alignment horizontal="right"/>
    </xf>
    <xf numFmtId="0" fontId="0" fillId="0" borderId="0" xfId="0"/>
    <xf numFmtId="0" fontId="11" fillId="0" borderId="22" xfId="0" applyFont="1" applyFill="1" applyBorder="1" applyAlignment="1">
      <alignment horizontal="left" wrapText="1"/>
    </xf>
    <xf numFmtId="0" fontId="2" fillId="0" borderId="0" xfId="20" applyNumberFormat="1" applyFont="1" applyFill="1" applyBorder="1" applyAlignment="1">
      <alignment vertical="center"/>
    </xf>
    <xf numFmtId="0" fontId="11" fillId="0" borderId="5" xfId="20" applyFont="1" applyFill="1" applyBorder="1" applyAlignment="1">
      <alignment horizontal="center" vertical="center"/>
    </xf>
    <xf numFmtId="14" fontId="11" fillId="0" borderId="6" xfId="20" applyNumberFormat="1" applyFont="1" applyFill="1" applyBorder="1" applyAlignment="1">
      <alignment horizontal="center" vertical="center"/>
    </xf>
    <xf numFmtId="0" fontId="2" fillId="0" borderId="0" xfId="0" quotePrefix="1" applyNumberFormat="1" applyFont="1" applyFill="1" applyBorder="1" applyAlignment="1">
      <alignment vertical="center"/>
    </xf>
    <xf numFmtId="2" fontId="2" fillId="0" borderId="0" xfId="0" applyNumberFormat="1" applyFont="1" applyFill="1"/>
    <xf numFmtId="0" fontId="13" fillId="0" borderId="13" xfId="20" applyFont="1" applyFill="1" applyBorder="1" applyAlignment="1">
      <alignment vertical="center"/>
    </xf>
    <xf numFmtId="0" fontId="2" fillId="0" borderId="13" xfId="20" applyFont="1" applyFill="1" applyBorder="1"/>
    <xf numFmtId="0" fontId="2" fillId="0" borderId="12" xfId="20" applyFont="1" applyFill="1" applyBorder="1"/>
    <xf numFmtId="0" fontId="13" fillId="0" borderId="0" xfId="20" applyFont="1" applyFill="1" applyBorder="1" applyAlignment="1">
      <alignment vertical="center"/>
    </xf>
    <xf numFmtId="0" fontId="0" fillId="0" borderId="5" xfId="2" applyFont="1" applyFill="1" applyBorder="1" applyAlignment="1">
      <alignment horizontal="center" vertical="center" wrapText="1"/>
    </xf>
    <xf numFmtId="0" fontId="2" fillId="0" borderId="0" xfId="20" applyFont="1" applyFill="1" applyBorder="1" applyAlignment="1">
      <alignment vertical="center"/>
    </xf>
    <xf numFmtId="0" fontId="0" fillId="0" borderId="15" xfId="2" applyFont="1" applyFill="1" applyBorder="1" applyAlignment="1">
      <alignment horizontal="center" vertical="center" wrapText="1"/>
    </xf>
    <xf numFmtId="0" fontId="2" fillId="0" borderId="14" xfId="20" applyNumberFormat="1" applyFont="1" applyFill="1" applyBorder="1" applyAlignment="1">
      <alignment vertical="center"/>
    </xf>
    <xf numFmtId="0" fontId="2" fillId="0" borderId="13" xfId="20" applyFont="1" applyFill="1" applyBorder="1" applyAlignment="1">
      <alignment horizontal="center"/>
    </xf>
    <xf numFmtId="0" fontId="2" fillId="0" borderId="11" xfId="20" applyNumberFormat="1" applyFont="1" applyFill="1" applyBorder="1" applyAlignment="1">
      <alignment vertical="center"/>
    </xf>
    <xf numFmtId="14" fontId="2" fillId="0" borderId="10" xfId="20" applyNumberFormat="1" applyFont="1" applyFill="1" applyBorder="1" applyAlignment="1">
      <alignment horizontal="left"/>
    </xf>
    <xf numFmtId="0" fontId="2" fillId="0" borderId="9" xfId="20" applyNumberFormat="1" applyFont="1" applyFill="1" applyBorder="1" applyAlignment="1">
      <alignment vertical="center"/>
    </xf>
    <xf numFmtId="0" fontId="2" fillId="0" borderId="8" xfId="20" applyFont="1" applyFill="1" applyBorder="1" applyAlignment="1">
      <alignment horizontal="center"/>
    </xf>
    <xf numFmtId="0" fontId="2" fillId="0" borderId="8" xfId="20" applyFont="1" applyFill="1" applyBorder="1" applyAlignment="1">
      <alignment horizontal="right"/>
    </xf>
    <xf numFmtId="183" fontId="5" fillId="0" borderId="7" xfId="20" applyNumberFormat="1" applyFont="1" applyFill="1" applyBorder="1" applyAlignment="1" applyProtection="1">
      <alignment horizontal="left"/>
    </xf>
    <xf numFmtId="168" fontId="2" fillId="0" borderId="17" xfId="19" applyFill="1" applyBorder="1">
      <alignment horizontal="center"/>
      <protection locked="0"/>
    </xf>
    <xf numFmtId="0" fontId="1" fillId="0" borderId="6" xfId="20" applyFill="1" applyBorder="1"/>
    <xf numFmtId="0" fontId="2" fillId="0" borderId="9" xfId="20" quotePrefix="1" applyNumberFormat="1" applyFont="1" applyFill="1" applyBorder="1" applyAlignment="1"/>
    <xf numFmtId="170" fontId="1" fillId="0" borderId="5" xfId="17" applyFill="1" applyBorder="1"/>
    <xf numFmtId="0" fontId="2" fillId="0" borderId="2" xfId="20" applyFont="1" applyFill="1" applyBorder="1" applyAlignment="1">
      <alignment horizontal="center"/>
    </xf>
    <xf numFmtId="0" fontId="0" fillId="0" borderId="6" xfId="2" applyFont="1" applyFill="1" applyBorder="1" applyAlignment="1">
      <alignment horizontal="center" vertical="center" wrapText="1"/>
    </xf>
    <xf numFmtId="168" fontId="2" fillId="0" borderId="5" xfId="19" applyFill="1" applyBorder="1">
      <alignment horizontal="center"/>
      <protection locked="0"/>
    </xf>
    <xf numFmtId="0" fontId="11" fillId="7" borderId="6" xfId="20" applyFont="1" applyFill="1" applyBorder="1" applyAlignment="1" applyProtection="1">
      <alignment horizontal="center" vertical="center"/>
    </xf>
    <xf numFmtId="0" fontId="2" fillId="0" borderId="11" xfId="20" quotePrefix="1" applyNumberFormat="1" applyFont="1" applyFill="1" applyBorder="1" applyAlignment="1">
      <alignment horizontal="right"/>
    </xf>
    <xf numFmtId="0" fontId="4" fillId="8" borderId="0" xfId="0" quotePrefix="1" applyNumberFormat="1" applyFont="1" applyFill="1" applyBorder="1" applyAlignment="1">
      <alignment wrapText="1"/>
    </xf>
    <xf numFmtId="170" fontId="1" fillId="8" borderId="15" xfId="8" applyFill="1" applyAlignment="1">
      <alignment horizontal="right"/>
    </xf>
    <xf numFmtId="0" fontId="0" fillId="0" borderId="0" xfId="0" applyFill="1"/>
    <xf numFmtId="0" fontId="20" fillId="7" borderId="0" xfId="0" quotePrefix="1" applyNumberFormat="1" applyFont="1" applyFill="1" applyBorder="1" applyAlignment="1"/>
    <xf numFmtId="0" fontId="13" fillId="9" borderId="0" xfId="0" quotePrefix="1" applyNumberFormat="1" applyFont="1" applyFill="1" applyBorder="1" applyAlignment="1">
      <alignment wrapText="1"/>
    </xf>
    <xf numFmtId="0" fontId="3" fillId="9" borderId="0" xfId="0" applyNumberFormat="1" applyFont="1" applyFill="1" applyBorder="1" applyAlignment="1"/>
    <xf numFmtId="0" fontId="3" fillId="9" borderId="0" xfId="0" applyNumberFormat="1" applyFont="1" applyFill="1" applyBorder="1" applyAlignment="1">
      <alignment wrapText="1"/>
    </xf>
    <xf numFmtId="0" fontId="13" fillId="9" borderId="0" xfId="0" quotePrefix="1" applyNumberFormat="1" applyFont="1" applyFill="1" applyBorder="1" applyAlignment="1"/>
    <xf numFmtId="0" fontId="3" fillId="9" borderId="0" xfId="0" quotePrefix="1" applyNumberFormat="1" applyFont="1" applyFill="1" applyBorder="1" applyAlignment="1"/>
    <xf numFmtId="14" fontId="3" fillId="9" borderId="0" xfId="0" quotePrefix="1" applyNumberFormat="1" applyFont="1" applyFill="1" applyBorder="1" applyAlignment="1">
      <alignment wrapText="1"/>
    </xf>
    <xf numFmtId="0" fontId="2" fillId="8" borderId="0" xfId="0" applyNumberFormat="1" applyFont="1" applyFill="1" applyBorder="1" applyAlignment="1">
      <alignment wrapText="1"/>
    </xf>
    <xf numFmtId="170" fontId="2" fillId="8" borderId="15" xfId="8" applyFont="1" applyFill="1" applyAlignment="1"/>
    <xf numFmtId="0" fontId="2" fillId="8" borderId="0" xfId="0" applyFont="1" applyFill="1" applyAlignment="1">
      <alignment vertical="center"/>
    </xf>
    <xf numFmtId="0" fontId="20" fillId="9" borderId="0" xfId="0" quotePrefix="1" applyNumberFormat="1" applyFont="1" applyFill="1" applyBorder="1" applyAlignment="1"/>
    <xf numFmtId="0" fontId="13" fillId="9" borderId="0" xfId="0" applyNumberFormat="1" applyFont="1" applyFill="1" applyBorder="1" applyAlignment="1"/>
    <xf numFmtId="0" fontId="2" fillId="0" borderId="0" xfId="0" applyFont="1" applyFill="1" applyAlignment="1">
      <alignment vertical="center"/>
    </xf>
    <xf numFmtId="0" fontId="13" fillId="9" borderId="0" xfId="0" applyNumberFormat="1" applyFont="1" applyFill="1" applyBorder="1" applyAlignment="1">
      <alignment wrapText="1"/>
    </xf>
    <xf numFmtId="14" fontId="3" fillId="9" borderId="0" xfId="0" quotePrefix="1" applyNumberFormat="1" applyFont="1" applyFill="1" applyBorder="1" applyAlignment="1"/>
    <xf numFmtId="14" fontId="13" fillId="9" borderId="0" xfId="0" quotePrefix="1" applyNumberFormat="1" applyFont="1" applyFill="1" applyBorder="1" applyAlignment="1">
      <alignment wrapText="1"/>
    </xf>
    <xf numFmtId="0" fontId="13" fillId="9" borderId="0" xfId="0" applyNumberFormat="1" applyFont="1" applyFill="1" applyBorder="1" applyAlignment="1">
      <alignment vertical="top" wrapText="1"/>
    </xf>
    <xf numFmtId="14" fontId="13" fillId="9" borderId="0" xfId="0" quotePrefix="1" applyNumberFormat="1" applyFont="1" applyFill="1" applyBorder="1" applyAlignment="1"/>
    <xf numFmtId="170" fontId="2" fillId="8" borderId="17" xfId="6" applyFont="1" applyFill="1">
      <protection locked="0"/>
    </xf>
    <xf numFmtId="0" fontId="2" fillId="0" borderId="0" xfId="0" applyFont="1" applyFill="1" applyBorder="1" applyAlignment="1"/>
    <xf numFmtId="0" fontId="0" fillId="0" borderId="0" xfId="0" applyFill="1"/>
    <xf numFmtId="0" fontId="11" fillId="0" borderId="22" xfId="0" applyFont="1" applyFill="1" applyBorder="1" applyAlignment="1">
      <alignment horizontal="left" wrapText="1"/>
    </xf>
    <xf numFmtId="0" fontId="2" fillId="0" borderId="0" xfId="0" applyFont="1" applyFill="1" applyBorder="1" applyAlignment="1">
      <alignment vertical="center"/>
    </xf>
    <xf numFmtId="0" fontId="13" fillId="0" borderId="0" xfId="0" applyFont="1" applyFill="1" applyAlignment="1"/>
    <xf numFmtId="0" fontId="2" fillId="0" borderId="11" xfId="0" applyFont="1" applyFill="1" applyBorder="1" applyAlignment="1">
      <alignment vertical="center"/>
    </xf>
    <xf numFmtId="0" fontId="13" fillId="0" borderId="1" xfId="1" applyFont="1" applyFill="1" applyAlignment="1">
      <alignment horizontal="center" vertical="center"/>
    </xf>
    <xf numFmtId="0" fontId="13" fillId="0" borderId="0" xfId="0" quotePrefix="1" applyFont="1" applyFill="1"/>
    <xf numFmtId="0" fontId="30" fillId="0" borderId="0" xfId="0" quotePrefix="1" applyFont="1" applyFill="1"/>
    <xf numFmtId="0" fontId="2" fillId="0" borderId="0" xfId="0" applyFont="1" applyFill="1" applyAlignment="1">
      <alignment vertical="top"/>
    </xf>
    <xf numFmtId="0" fontId="2" fillId="0" borderId="11" xfId="0" applyFont="1" applyFill="1" applyBorder="1" applyAlignment="1">
      <alignment vertical="top"/>
    </xf>
    <xf numFmtId="0" fontId="2" fillId="0" borderId="0" xfId="0" quotePrefix="1" applyFont="1" applyFill="1" applyAlignment="1">
      <alignment vertical="top"/>
    </xf>
    <xf numFmtId="0" fontId="3" fillId="0" borderId="1" xfId="1" applyFill="1" applyAlignment="1">
      <alignment horizontal="center" vertical="top"/>
    </xf>
    <xf numFmtId="0" fontId="5" fillId="0" borderId="0" xfId="0" applyFont="1" applyFill="1" applyBorder="1" applyAlignment="1">
      <alignment vertical="top"/>
    </xf>
    <xf numFmtId="0" fontId="32" fillId="0" borderId="0" xfId="0" applyFont="1" applyFill="1" applyAlignment="1">
      <alignment vertical="top"/>
    </xf>
    <xf numFmtId="0" fontId="2" fillId="0" borderId="19" xfId="20" applyFont="1" applyFill="1" applyBorder="1" applyAlignment="1">
      <alignment horizontal="left" wrapText="1"/>
    </xf>
    <xf numFmtId="0" fontId="2" fillId="0" borderId="20" xfId="20" applyFont="1" applyFill="1" applyBorder="1" applyAlignment="1">
      <alignment horizontal="left" wrapText="1"/>
    </xf>
    <xf numFmtId="0" fontId="11" fillId="0" borderId="22" xfId="0" applyFont="1" applyBorder="1" applyAlignment="1">
      <alignment horizontal="left" wrapText="1"/>
    </xf>
    <xf numFmtId="0" fontId="4" fillId="0" borderId="19" xfId="20" applyFont="1" applyFill="1" applyBorder="1" applyAlignment="1">
      <alignment horizontal="left" wrapText="1"/>
    </xf>
    <xf numFmtId="0" fontId="10" fillId="0" borderId="19" xfId="0" applyFont="1" applyBorder="1" applyAlignment="1">
      <alignment horizontal="left" wrapText="1"/>
    </xf>
    <xf numFmtId="0" fontId="2" fillId="0" borderId="19" xfId="20" applyFont="1" applyFill="1" applyBorder="1" applyAlignment="1">
      <alignment horizontal="left" wrapText="1" indent="1"/>
    </xf>
    <xf numFmtId="0" fontId="4" fillId="0" borderId="30" xfId="0" applyFont="1" applyBorder="1" applyAlignment="1">
      <alignment horizontal="left"/>
    </xf>
    <xf numFmtId="0" fontId="2" fillId="0" borderId="19" xfId="20" applyFont="1" applyBorder="1" applyAlignment="1">
      <alignment horizontal="left" indent="1"/>
    </xf>
    <xf numFmtId="0" fontId="2" fillId="0" borderId="19" xfId="20" applyFont="1" applyBorder="1" applyAlignment="1">
      <alignment horizontal="left"/>
    </xf>
    <xf numFmtId="0" fontId="2" fillId="0" borderId="19" xfId="20" quotePrefix="1" applyFont="1" applyFill="1" applyBorder="1" applyAlignment="1">
      <alignment horizontal="left" wrapText="1"/>
    </xf>
    <xf numFmtId="0" fontId="11" fillId="0" borderId="19" xfId="0" applyFont="1" applyBorder="1" applyAlignment="1">
      <alignment horizontal="left" wrapText="1"/>
    </xf>
    <xf numFmtId="0" fontId="11" fillId="0" borderId="4" xfId="0" applyFont="1" applyFill="1" applyBorder="1" applyAlignment="1">
      <alignment horizontal="left" wrapText="1"/>
    </xf>
    <xf numFmtId="0" fontId="2" fillId="0" borderId="30" xfId="20" applyFont="1" applyFill="1" applyBorder="1" applyAlignment="1">
      <alignment horizontal="left" wrapText="1" indent="2"/>
    </xf>
    <xf numFmtId="0" fontId="0" fillId="0" borderId="0" xfId="0"/>
    <xf numFmtId="0" fontId="0" fillId="0" borderId="0" xfId="0" applyFill="1"/>
    <xf numFmtId="0" fontId="1" fillId="0" borderId="2" xfId="2" applyFont="1" applyBorder="1" applyAlignment="1">
      <alignment horizontal="center" vertical="center" wrapText="1"/>
    </xf>
    <xf numFmtId="0" fontId="1" fillId="0" borderId="2" xfId="2" applyFont="1" applyBorder="1" applyAlignment="1">
      <alignment horizontal="center" vertical="center"/>
    </xf>
    <xf numFmtId="0" fontId="1" fillId="7" borderId="0" xfId="20" applyNumberFormat="1" applyFont="1" applyFill="1" applyBorder="1" applyAlignment="1">
      <alignment horizontal="left" vertical="center"/>
    </xf>
    <xf numFmtId="0" fontId="1" fillId="11" borderId="0" xfId="20" applyNumberFormat="1" applyFont="1" applyFill="1" applyBorder="1" applyAlignment="1">
      <alignment horizontal="left" vertical="center"/>
    </xf>
    <xf numFmtId="14" fontId="1" fillId="7" borderId="0" xfId="20" quotePrefix="1" applyNumberFormat="1" applyFont="1" applyFill="1" applyBorder="1" applyAlignment="1">
      <alignment horizontal="left" vertical="center"/>
    </xf>
    <xf numFmtId="0" fontId="1" fillId="7" borderId="0" xfId="20" quotePrefix="1" applyNumberFormat="1" applyFont="1" applyFill="1" applyBorder="1" applyAlignment="1">
      <alignment horizontal="left" vertical="center"/>
    </xf>
    <xf numFmtId="169" fontId="1" fillId="0" borderId="25" xfId="4" applyFill="1" applyBorder="1">
      <alignment horizontal="center"/>
    </xf>
    <xf numFmtId="189" fontId="0" fillId="0" borderId="17" xfId="17" applyNumberFormat="1" applyFont="1" applyFill="1" applyAlignment="1">
      <alignment horizontal="center"/>
    </xf>
    <xf numFmtId="170" fontId="1" fillId="0" borderId="17" xfId="17" applyFill="1" applyAlignment="1">
      <alignment horizontal="center" vertical="center"/>
    </xf>
    <xf numFmtId="170" fontId="0" fillId="0" borderId="17" xfId="17" applyFont="1" applyFill="1"/>
    <xf numFmtId="169" fontId="0" fillId="3" borderId="5" xfId="4" applyFont="1" applyBorder="1">
      <alignment horizontal="center"/>
    </xf>
    <xf numFmtId="0" fontId="1" fillId="0" borderId="15" xfId="20" applyBorder="1"/>
    <xf numFmtId="0" fontId="1" fillId="0" borderId="15" xfId="2" applyBorder="1">
      <alignment horizontal="center" vertical="center"/>
    </xf>
    <xf numFmtId="0" fontId="0" fillId="0" borderId="15" xfId="2" applyFont="1" applyBorder="1">
      <alignment horizontal="center" vertical="center"/>
    </xf>
    <xf numFmtId="0" fontId="2" fillId="0" borderId="15" xfId="2" applyFont="1" applyBorder="1">
      <alignment horizontal="center" vertical="center"/>
    </xf>
    <xf numFmtId="168" fontId="2" fillId="20" borderId="17" xfId="19" applyFill="1" applyBorder="1">
      <alignment horizontal="center"/>
      <protection locked="0"/>
    </xf>
    <xf numFmtId="168" fontId="2" fillId="20" borderId="5" xfId="19" applyFill="1" applyBorder="1">
      <alignment horizontal="center"/>
      <protection locked="0"/>
    </xf>
    <xf numFmtId="0" fontId="11" fillId="0" borderId="4" xfId="0" applyFont="1" applyFill="1" applyBorder="1" applyAlignment="1">
      <alignment horizontal="right" vertical="center" wrapText="1"/>
    </xf>
    <xf numFmtId="0" fontId="4" fillId="7" borderId="0" xfId="20" applyNumberFormat="1" applyFont="1" applyFill="1" applyBorder="1" applyAlignment="1">
      <alignment horizontal="left" vertical="center"/>
    </xf>
    <xf numFmtId="0" fontId="14" fillId="11" borderId="0" xfId="20" applyNumberFormat="1" applyFont="1" applyFill="1" applyAlignment="1">
      <alignment horizontal="left" vertical="center"/>
    </xf>
    <xf numFmtId="0" fontId="14" fillId="11" borderId="0" xfId="20" applyNumberFormat="1" applyFont="1" applyFill="1" applyBorder="1" applyAlignment="1">
      <alignment horizontal="left" vertical="center"/>
    </xf>
    <xf numFmtId="0" fontId="14" fillId="7" borderId="0" xfId="20" applyNumberFormat="1" applyFont="1" applyFill="1" applyBorder="1" applyAlignment="1">
      <alignment horizontal="left" vertical="center"/>
    </xf>
    <xf numFmtId="170" fontId="1" fillId="7" borderId="16" xfId="6" applyFill="1" applyBorder="1">
      <protection locked="0"/>
    </xf>
    <xf numFmtId="170" fontId="1" fillId="7" borderId="46" xfId="6" applyFill="1" applyBorder="1">
      <protection locked="0"/>
    </xf>
    <xf numFmtId="170" fontId="1" fillId="9" borderId="17" xfId="5" applyFill="1" applyBorder="1"/>
    <xf numFmtId="0" fontId="0" fillId="0" borderId="0" xfId="0"/>
    <xf numFmtId="0" fontId="0" fillId="0" borderId="25" xfId="0" applyBorder="1" applyAlignment="1">
      <alignment horizontal="center"/>
    </xf>
    <xf numFmtId="0" fontId="0" fillId="0" borderId="5" xfId="0" applyBorder="1" applyAlignment="1">
      <alignment horizontal="center"/>
    </xf>
    <xf numFmtId="169" fontId="13" fillId="9" borderId="15" xfId="4" applyFont="1" applyFill="1">
      <alignment horizontal="center"/>
    </xf>
    <xf numFmtId="170" fontId="14" fillId="0" borderId="17" xfId="5" applyFont="1" applyFill="1" applyBorder="1"/>
    <xf numFmtId="0" fontId="2" fillId="9" borderId="11" xfId="20" quotePrefix="1" applyFont="1" applyFill="1" applyBorder="1"/>
    <xf numFmtId="0" fontId="2" fillId="7" borderId="10" xfId="20" applyFont="1" applyFill="1" applyBorder="1"/>
    <xf numFmtId="170" fontId="1" fillId="0" borderId="17" xfId="6" applyFill="1" applyAlignment="1">
      <alignment vertical="top"/>
      <protection locked="0"/>
    </xf>
    <xf numFmtId="14" fontId="2" fillId="9" borderId="0" xfId="0" quotePrefix="1" applyNumberFormat="1" applyFont="1" applyFill="1" applyBorder="1" applyAlignment="1">
      <alignment horizontal="left" vertical="top"/>
    </xf>
    <xf numFmtId="0" fontId="10" fillId="0" borderId="0" xfId="0" applyNumberFormat="1" applyFont="1" applyFill="1" applyBorder="1" applyAlignment="1">
      <alignment horizontal="left" vertical="top" wrapText="1"/>
    </xf>
    <xf numFmtId="170" fontId="1" fillId="9" borderId="16" xfId="5" applyFill="1" applyAlignment="1">
      <alignment vertical="top"/>
    </xf>
    <xf numFmtId="0" fontId="4" fillId="0" borderId="6" xfId="0" applyFont="1" applyFill="1" applyBorder="1" applyAlignment="1">
      <alignment horizontal="center" vertical="center"/>
    </xf>
    <xf numFmtId="0" fontId="4" fillId="0" borderId="0" xfId="0" applyFont="1" applyFill="1" applyBorder="1"/>
    <xf numFmtId="0" fontId="4" fillId="0" borderId="6" xfId="0" applyFont="1" applyFill="1" applyBorder="1" applyAlignment="1" applyProtection="1">
      <alignment horizontal="center" vertical="center"/>
    </xf>
    <xf numFmtId="0" fontId="2" fillId="0" borderId="0" xfId="0" applyFont="1" applyAlignment="1">
      <alignment horizontal="left"/>
    </xf>
    <xf numFmtId="0" fontId="2" fillId="0" borderId="25" xfId="0" applyFont="1" applyBorder="1" applyAlignment="1">
      <alignment horizontal="center" wrapText="1"/>
    </xf>
    <xf numFmtId="0" fontId="4" fillId="7" borderId="0" xfId="0" quotePrefix="1" applyFont="1" applyFill="1"/>
    <xf numFmtId="0" fontId="2" fillId="7" borderId="0" xfId="0" quotePrefix="1" applyFont="1" applyFill="1" applyAlignment="1">
      <alignment horizontal="left" indent="1"/>
    </xf>
    <xf numFmtId="0" fontId="2" fillId="7" borderId="0" xfId="0" quotePrefix="1" applyFont="1" applyFill="1" applyAlignment="1">
      <alignment horizontal="left" indent="2"/>
    </xf>
    <xf numFmtId="0" fontId="2" fillId="7" borderId="0" xfId="0" quotePrefix="1" applyFont="1" applyFill="1" applyAlignment="1">
      <alignment horizontal="left" indent="3"/>
    </xf>
    <xf numFmtId="0" fontId="2" fillId="7" borderId="0" xfId="0" quotePrefix="1" applyFont="1" applyFill="1" applyAlignment="1">
      <alignment horizontal="left" indent="4"/>
    </xf>
    <xf numFmtId="0" fontId="14" fillId="7" borderId="0" xfId="0" quotePrefix="1" applyFont="1" applyFill="1" applyBorder="1"/>
    <xf numFmtId="0" fontId="4" fillId="7" borderId="0" xfId="0" applyFont="1" applyFill="1" applyAlignment="1">
      <alignment horizontal="left"/>
    </xf>
    <xf numFmtId="0" fontId="14" fillId="7" borderId="0" xfId="0" applyFont="1" applyFill="1" applyAlignment="1">
      <alignment horizontal="left"/>
    </xf>
    <xf numFmtId="0" fontId="0" fillId="7" borderId="0" xfId="0" quotePrefix="1" applyFont="1" applyFill="1"/>
    <xf numFmtId="0" fontId="0" fillId="7" borderId="0" xfId="0" applyFont="1" applyFill="1" applyAlignment="1">
      <alignment horizontal="left"/>
    </xf>
    <xf numFmtId="0" fontId="2" fillId="7" borderId="0" xfId="0" quotePrefix="1" applyFont="1" applyFill="1"/>
    <xf numFmtId="0" fontId="2" fillId="7" borderId="0" xfId="0" applyFont="1" applyFill="1" applyAlignment="1">
      <alignment horizontal="left" indent="1"/>
    </xf>
    <xf numFmtId="0" fontId="2" fillId="7" borderId="0" xfId="0" applyFont="1" applyFill="1" applyAlignment="1">
      <alignment horizontal="left"/>
    </xf>
    <xf numFmtId="0" fontId="4" fillId="7" borderId="0" xfId="0" quotePrefix="1" applyFont="1" applyFill="1" applyBorder="1"/>
    <xf numFmtId="169" fontId="0" fillId="0" borderId="15" xfId="4" applyFont="1" applyFill="1">
      <alignment horizontal="center"/>
    </xf>
    <xf numFmtId="169" fontId="0" fillId="7" borderId="10" xfId="4" applyFont="1" applyFill="1" applyBorder="1">
      <alignment horizontal="center"/>
    </xf>
    <xf numFmtId="170" fontId="0" fillId="7" borderId="47" xfId="5" applyFont="1" applyFill="1" applyBorder="1"/>
    <xf numFmtId="0" fontId="0" fillId="7" borderId="0" xfId="0" quotePrefix="1" applyFont="1" applyFill="1" applyBorder="1"/>
    <xf numFmtId="14" fontId="14" fillId="7" borderId="0" xfId="0" quotePrefix="1" applyNumberFormat="1" applyFont="1" applyFill="1" applyBorder="1"/>
    <xf numFmtId="170" fontId="0" fillId="7" borderId="17" xfId="6" applyFont="1" applyFill="1">
      <protection locked="0"/>
    </xf>
    <xf numFmtId="170" fontId="0" fillId="7" borderId="16" xfId="6" applyFont="1" applyFill="1" applyBorder="1">
      <protection locked="0"/>
    </xf>
    <xf numFmtId="0" fontId="0" fillId="7" borderId="13" xfId="0" quotePrefix="1" applyFill="1" applyBorder="1" applyAlignment="1">
      <alignment horizontal="left"/>
    </xf>
    <xf numFmtId="167" fontId="4" fillId="7" borderId="24" xfId="24" applyFont="1" applyFill="1" applyBorder="1">
      <alignment horizontal="left"/>
    </xf>
    <xf numFmtId="167" fontId="2" fillId="7" borderId="10" xfId="24" applyFont="1" applyFill="1" applyBorder="1">
      <alignment horizontal="left"/>
    </xf>
    <xf numFmtId="167" fontId="2" fillId="7" borderId="10" xfId="24" applyFont="1" applyFill="1" applyBorder="1" applyAlignment="1">
      <alignment horizontal="left" indent="1"/>
    </xf>
    <xf numFmtId="167" fontId="2" fillId="7" borderId="7" xfId="24" applyFont="1" applyFill="1" applyBorder="1">
      <alignment horizontal="left"/>
    </xf>
    <xf numFmtId="167" fontId="4" fillId="7" borderId="13" xfId="24" applyFont="1" applyFill="1" applyBorder="1">
      <alignment horizontal="left"/>
    </xf>
    <xf numFmtId="167" fontId="2" fillId="7" borderId="0" xfId="24" applyFont="1" applyFill="1" applyBorder="1">
      <alignment horizontal="left"/>
    </xf>
    <xf numFmtId="167" fontId="2" fillId="7" borderId="0" xfId="24" applyFont="1" applyFill="1" applyBorder="1" applyAlignment="1">
      <alignment horizontal="left" indent="1"/>
    </xf>
    <xf numFmtId="167" fontId="2" fillId="7" borderId="0" xfId="24" applyFont="1" applyFill="1" applyBorder="1" applyAlignment="1">
      <alignment horizontal="left" wrapText="1"/>
    </xf>
    <xf numFmtId="167" fontId="2" fillId="7" borderId="22" xfId="24" applyFont="1" applyFill="1" applyBorder="1">
      <alignment horizontal="left"/>
    </xf>
    <xf numFmtId="170" fontId="1" fillId="7" borderId="23" xfId="5" applyFill="1" applyBorder="1"/>
    <xf numFmtId="170" fontId="1" fillId="7" borderId="15" xfId="5" applyFill="1" applyBorder="1"/>
    <xf numFmtId="170" fontId="1" fillId="7" borderId="47" xfId="5" applyFill="1" applyBorder="1"/>
    <xf numFmtId="170" fontId="1" fillId="7" borderId="0" xfId="5" applyFill="1" applyBorder="1"/>
    <xf numFmtId="170" fontId="1" fillId="7" borderId="8" xfId="5" applyFill="1" applyBorder="1"/>
    <xf numFmtId="170" fontId="1" fillId="7" borderId="5" xfId="5" applyFill="1" applyBorder="1"/>
    <xf numFmtId="170" fontId="1" fillId="14" borderId="39" xfId="5" applyNumberFormat="1" applyFont="1" applyFill="1" applyBorder="1" applyAlignment="1" applyProtection="1">
      <protection locked="0"/>
    </xf>
    <xf numFmtId="167" fontId="2" fillId="0" borderId="44" xfId="11" applyFont="1" applyFill="1" applyBorder="1" applyAlignment="1"/>
    <xf numFmtId="167" fontId="2" fillId="0" borderId="43" xfId="11" applyFont="1" applyFill="1" applyBorder="1" applyAlignment="1"/>
    <xf numFmtId="167" fontId="2" fillId="0" borderId="41" xfId="11" applyFont="1" applyFill="1" applyBorder="1" applyAlignment="1"/>
    <xf numFmtId="167" fontId="2" fillId="0" borderId="19" xfId="11" applyFont="1" applyFill="1" applyBorder="1" applyAlignment="1"/>
    <xf numFmtId="167" fontId="2" fillId="0" borderId="17" xfId="11" applyFont="1" applyFill="1" applyBorder="1" applyAlignment="1"/>
    <xf numFmtId="167" fontId="2" fillId="0" borderId="32" xfId="11" applyFont="1" applyFill="1" applyBorder="1" applyAlignment="1"/>
    <xf numFmtId="167" fontId="2" fillId="0" borderId="36" xfId="11" applyFont="1" applyFill="1" applyBorder="1" applyAlignment="1"/>
    <xf numFmtId="167" fontId="2" fillId="0" borderId="34" xfId="11" applyFont="1" applyFill="1" applyBorder="1" applyAlignment="1"/>
    <xf numFmtId="171" fontId="4" fillId="0" borderId="16" xfId="0" applyNumberFormat="1" applyFont="1" applyFill="1" applyBorder="1"/>
    <xf numFmtId="171" fontId="14" fillId="0" borderId="16" xfId="8" applyNumberFormat="1" applyFont="1" applyFill="1" applyBorder="1">
      <alignment vertical="center"/>
    </xf>
    <xf numFmtId="171" fontId="0" fillId="0" borderId="16" xfId="8" applyNumberFormat="1" applyFont="1" applyFill="1" applyBorder="1">
      <alignment vertical="center"/>
    </xf>
    <xf numFmtId="171" fontId="0" fillId="0" borderId="46" xfId="8" applyNumberFormat="1" applyFont="1" applyFill="1" applyBorder="1">
      <alignment vertical="center"/>
    </xf>
    <xf numFmtId="171" fontId="0" fillId="0" borderId="15" xfId="8" applyNumberFormat="1" applyFont="1" applyFill="1">
      <alignment vertical="center"/>
    </xf>
    <xf numFmtId="171" fontId="14" fillId="0" borderId="15" xfId="8" applyNumberFormat="1" applyFont="1" applyFill="1">
      <alignment vertical="center"/>
    </xf>
    <xf numFmtId="171" fontId="1" fillId="0" borderId="16" xfId="8" applyNumberFormat="1" applyFont="1" applyFill="1" applyBorder="1">
      <alignment vertical="center"/>
    </xf>
    <xf numFmtId="171" fontId="14" fillId="0" borderId="46" xfId="8" applyNumberFormat="1" applyFont="1" applyFill="1" applyBorder="1">
      <alignment vertical="center"/>
    </xf>
    <xf numFmtId="167" fontId="2" fillId="10" borderId="0" xfId="11" applyFont="1" applyFill="1" applyBorder="1">
      <alignment horizontal="left"/>
    </xf>
    <xf numFmtId="0" fontId="2" fillId="0" borderId="0" xfId="0" applyFont="1" applyFill="1" applyBorder="1" applyAlignment="1">
      <alignment wrapText="1"/>
    </xf>
    <xf numFmtId="0" fontId="2" fillId="0" borderId="14" xfId="0" applyFont="1" applyFill="1" applyBorder="1" applyAlignment="1">
      <alignment vertical="top"/>
    </xf>
    <xf numFmtId="0" fontId="2" fillId="0" borderId="25" xfId="0" applyFont="1" applyFill="1" applyBorder="1" applyAlignment="1">
      <alignment vertical="top" wrapText="1"/>
    </xf>
    <xf numFmtId="0" fontId="2" fillId="0" borderId="15" xfId="0" applyFont="1" applyFill="1" applyBorder="1" applyAlignment="1">
      <alignment vertical="top" wrapText="1"/>
    </xf>
    <xf numFmtId="169" fontId="13" fillId="0" borderId="15" xfId="4" applyFont="1" applyFill="1">
      <alignment horizontal="center"/>
    </xf>
    <xf numFmtId="167" fontId="2" fillId="0" borderId="7" xfId="3" applyFont="1" applyFill="1" applyBorder="1" applyAlignment="1">
      <alignment horizontal="left" indent="1"/>
    </xf>
    <xf numFmtId="170" fontId="1" fillId="0" borderId="39" xfId="5" applyNumberFormat="1" applyFont="1" applyFill="1" applyBorder="1" applyAlignment="1" applyProtection="1">
      <protection locked="0"/>
    </xf>
    <xf numFmtId="0" fontId="6" fillId="0" borderId="19" xfId="0" applyFont="1" applyFill="1" applyBorder="1"/>
    <xf numFmtId="167" fontId="2" fillId="0" borderId="7" xfId="3" applyFont="1" applyFill="1" applyBorder="1" applyAlignment="1">
      <alignment horizontal="left" indent="2"/>
    </xf>
    <xf numFmtId="171" fontId="1" fillId="0" borderId="0" xfId="7" applyNumberFormat="1" applyFill="1" applyBorder="1">
      <alignment vertical="center"/>
    </xf>
    <xf numFmtId="167" fontId="2" fillId="0" borderId="0" xfId="3" quotePrefix="1" applyFont="1" applyFill="1" applyBorder="1">
      <alignment horizontal="left"/>
    </xf>
    <xf numFmtId="0" fontId="4" fillId="0" borderId="6" xfId="0" applyFont="1" applyFill="1" applyBorder="1" applyAlignment="1">
      <alignment wrapText="1"/>
    </xf>
    <xf numFmtId="0" fontId="13" fillId="0" borderId="8" xfId="0" applyFont="1" applyFill="1" applyBorder="1"/>
    <xf numFmtId="167" fontId="46" fillId="0" borderId="13" xfId="3" quotePrefix="1" applyFont="1" applyFill="1" applyBorder="1">
      <alignment horizontal="left"/>
    </xf>
    <xf numFmtId="167" fontId="46" fillId="0" borderId="0" xfId="3" quotePrefix="1" applyFont="1" applyFill="1" applyBorder="1">
      <alignment horizontal="left"/>
    </xf>
    <xf numFmtId="167" fontId="3" fillId="0" borderId="0" xfId="3" applyFont="1" applyFill="1" applyBorder="1">
      <alignment horizontal="left"/>
    </xf>
    <xf numFmtId="167" fontId="4" fillId="0" borderId="0" xfId="3" quotePrefix="1" applyFont="1" applyFill="1" applyBorder="1" applyAlignment="1">
      <alignment horizontal="center"/>
    </xf>
    <xf numFmtId="0" fontId="0" fillId="0" borderId="0" xfId="0"/>
    <xf numFmtId="0" fontId="2" fillId="0" borderId="0" xfId="0" applyFont="1" applyFill="1" applyBorder="1" applyAlignment="1"/>
    <xf numFmtId="0" fontId="0" fillId="0" borderId="0" xfId="0" applyFill="1"/>
    <xf numFmtId="0" fontId="0" fillId="5" borderId="0" xfId="0" applyFont="1" applyFill="1" applyBorder="1" applyAlignment="1" applyProtection="1">
      <alignment horizontal="left"/>
      <protection locked="0"/>
    </xf>
    <xf numFmtId="0" fontId="2" fillId="0" borderId="3" xfId="2" applyFont="1" applyFill="1" applyBorder="1" applyAlignment="1">
      <alignment horizontal="center" vertical="center"/>
    </xf>
    <xf numFmtId="0" fontId="2" fillId="0" borderId="4" xfId="2" applyFont="1" applyFill="1" applyBorder="1" applyAlignment="1">
      <alignment horizontal="center" vertical="center"/>
    </xf>
    <xf numFmtId="0" fontId="2" fillId="0" borderId="2" xfId="2" applyFont="1" applyFill="1" applyBorder="1" applyAlignment="1">
      <alignment horizontal="center" vertical="center"/>
    </xf>
    <xf numFmtId="0" fontId="2" fillId="8" borderId="19" xfId="20" applyFont="1" applyFill="1" applyBorder="1" applyAlignment="1">
      <alignment horizontal="left" wrapText="1" indent="2"/>
    </xf>
    <xf numFmtId="0" fontId="2" fillId="8" borderId="3" xfId="2" applyFont="1" applyFill="1" applyBorder="1" applyAlignment="1">
      <alignment horizontal="center" vertical="center"/>
    </xf>
    <xf numFmtId="0" fontId="2" fillId="8" borderId="4" xfId="2" applyFont="1" applyFill="1" applyBorder="1" applyAlignment="1">
      <alignment horizontal="center" vertical="center"/>
    </xf>
    <xf numFmtId="0" fontId="2" fillId="8" borderId="25" xfId="2" applyFont="1" applyFill="1" applyBorder="1" applyAlignment="1">
      <alignment horizontal="center" vertical="center" wrapText="1"/>
    </xf>
    <xf numFmtId="0" fontId="2" fillId="8" borderId="5" xfId="2" applyFont="1" applyFill="1" applyBorder="1" applyAlignment="1">
      <alignment horizontal="center" vertical="center" wrapText="1"/>
    </xf>
    <xf numFmtId="0" fontId="11" fillId="8" borderId="8" xfId="0" applyFont="1" applyFill="1" applyBorder="1" applyAlignment="1">
      <alignment horizontal="left" wrapText="1"/>
    </xf>
    <xf numFmtId="0" fontId="2" fillId="8" borderId="2" xfId="2" applyFont="1" applyFill="1" applyBorder="1" applyAlignment="1">
      <alignment horizontal="center" vertical="center"/>
    </xf>
    <xf numFmtId="0" fontId="2" fillId="8" borderId="19" xfId="0" applyFont="1" applyFill="1" applyBorder="1" applyAlignment="1">
      <alignment wrapText="1"/>
    </xf>
    <xf numFmtId="0" fontId="11" fillId="0" borderId="22" xfId="0" applyFont="1" applyFill="1" applyBorder="1" applyAlignment="1">
      <alignment horizontal="left" wrapText="1"/>
    </xf>
    <xf numFmtId="0" fontId="10" fillId="0" borderId="22" xfId="0" applyFont="1" applyFill="1" applyBorder="1" applyAlignment="1">
      <alignment horizontal="left" wrapText="1"/>
    </xf>
    <xf numFmtId="0" fontId="4" fillId="0" borderId="19" xfId="0" applyFont="1" applyFill="1" applyBorder="1" applyAlignment="1">
      <alignment horizontal="left" wrapText="1"/>
    </xf>
    <xf numFmtId="0" fontId="2" fillId="0" borderId="19" xfId="0" applyFont="1" applyFill="1" applyBorder="1" applyAlignment="1">
      <alignment wrapText="1"/>
    </xf>
    <xf numFmtId="0" fontId="2" fillId="0" borderId="19" xfId="0" applyFont="1" applyFill="1" applyBorder="1" applyAlignment="1"/>
    <xf numFmtId="0" fontId="4" fillId="0" borderId="22" xfId="0" applyFont="1" applyFill="1" applyBorder="1" applyAlignment="1">
      <alignment wrapText="1"/>
    </xf>
    <xf numFmtId="0" fontId="4" fillId="0" borderId="22" xfId="0" applyFont="1" applyFill="1" applyBorder="1" applyAlignment="1"/>
    <xf numFmtId="0" fontId="0" fillId="0" borderId="20" xfId="0" applyFill="1" applyBorder="1" applyAlignment="1">
      <alignment horizontal="left"/>
    </xf>
    <xf numFmtId="0" fontId="2" fillId="0" borderId="22" xfId="0" applyFont="1" applyFill="1" applyBorder="1" applyAlignment="1">
      <alignment wrapText="1"/>
    </xf>
    <xf numFmtId="0" fontId="2" fillId="0" borderId="22" xfId="0" applyFont="1" applyFill="1" applyBorder="1" applyAlignment="1"/>
    <xf numFmtId="0" fontId="2" fillId="0" borderId="30" xfId="0" applyFont="1" applyFill="1" applyBorder="1" applyAlignment="1"/>
    <xf numFmtId="0" fontId="2" fillId="0" borderId="13" xfId="0" applyFont="1" applyFill="1" applyBorder="1" applyAlignment="1">
      <alignment horizontal="left"/>
    </xf>
    <xf numFmtId="0" fontId="4" fillId="0" borderId="20" xfId="0" applyFont="1" applyFill="1" applyBorder="1" applyAlignment="1">
      <alignment wrapText="1"/>
    </xf>
    <xf numFmtId="0" fontId="4" fillId="0" borderId="20" xfId="0" applyFont="1" applyFill="1" applyBorder="1" applyAlignment="1"/>
    <xf numFmtId="0" fontId="4" fillId="0" borderId="0" xfId="0" applyFont="1" applyFill="1" applyBorder="1" applyAlignment="1">
      <alignment wrapText="1"/>
    </xf>
    <xf numFmtId="0" fontId="4" fillId="0" borderId="0" xfId="0" applyFont="1" applyFill="1" applyBorder="1" applyAlignment="1"/>
    <xf numFmtId="0" fontId="2" fillId="0" borderId="19" xfId="0" applyFont="1" applyFill="1" applyBorder="1" applyAlignment="1">
      <alignment horizontal="left" wrapText="1"/>
    </xf>
    <xf numFmtId="0" fontId="2" fillId="0" borderId="20" xfId="0" applyFont="1" applyFill="1" applyBorder="1" applyAlignment="1">
      <alignment wrapText="1"/>
    </xf>
    <xf numFmtId="0" fontId="2" fillId="0" borderId="22" xfId="0" applyFont="1" applyFill="1" applyBorder="1" applyAlignment="1">
      <alignment vertical="top" wrapText="1"/>
    </xf>
    <xf numFmtId="0" fontId="2" fillId="0" borderId="22" xfId="0" applyFont="1" applyFill="1" applyBorder="1" applyAlignment="1">
      <alignment vertical="top"/>
    </xf>
    <xf numFmtId="0" fontId="2" fillId="0" borderId="19" xfId="0" applyFont="1" applyFill="1" applyBorder="1" applyAlignment="1">
      <alignment vertical="top" wrapText="1"/>
    </xf>
    <xf numFmtId="0" fontId="2" fillId="0" borderId="19" xfId="0" applyFont="1" applyFill="1" applyBorder="1" applyAlignment="1">
      <alignment vertical="top"/>
    </xf>
    <xf numFmtId="0" fontId="2" fillId="8" borderId="19" xfId="0" applyFont="1" applyFill="1" applyBorder="1" applyAlignment="1"/>
    <xf numFmtId="0" fontId="4" fillId="0" borderId="22" xfId="0" quotePrefix="1" applyFont="1" applyFill="1" applyBorder="1" applyAlignment="1">
      <alignment wrapText="1"/>
    </xf>
    <xf numFmtId="0" fontId="10" fillId="0" borderId="22" xfId="0" applyFont="1" applyFill="1" applyBorder="1" applyAlignment="1">
      <alignment wrapText="1"/>
    </xf>
    <xf numFmtId="0" fontId="10" fillId="0" borderId="22" xfId="0" applyFont="1" applyFill="1" applyBorder="1" applyAlignment="1"/>
    <xf numFmtId="0" fontId="2" fillId="0" borderId="20" xfId="0" applyFont="1" applyFill="1" applyBorder="1" applyAlignment="1"/>
    <xf numFmtId="0" fontId="2" fillId="0" borderId="19" xfId="0" quotePrefix="1" applyFont="1" applyFill="1" applyBorder="1" applyAlignment="1">
      <alignment horizontal="left" wrapText="1"/>
    </xf>
    <xf numFmtId="0" fontId="2" fillId="0" borderId="0" xfId="0" applyFont="1" applyFill="1" applyBorder="1" applyAlignment="1">
      <alignment wrapText="1"/>
    </xf>
    <xf numFmtId="0" fontId="2" fillId="0" borderId="0" xfId="0" applyFont="1" applyFill="1" applyBorder="1" applyAlignment="1"/>
    <xf numFmtId="0" fontId="2" fillId="8" borderId="20" xfId="0" applyFont="1" applyFill="1" applyBorder="1" applyAlignment="1">
      <alignment wrapText="1"/>
    </xf>
    <xf numFmtId="0" fontId="2" fillId="8" borderId="20" xfId="0" applyFont="1" applyFill="1" applyBorder="1" applyAlignment="1"/>
    <xf numFmtId="0" fontId="2" fillId="8" borderId="22" xfId="0" applyFont="1" applyFill="1" applyBorder="1" applyAlignment="1">
      <alignment wrapText="1"/>
    </xf>
    <xf numFmtId="0" fontId="10" fillId="8" borderId="0" xfId="0" applyFont="1" applyFill="1" applyBorder="1" applyAlignment="1">
      <alignment wrapText="1"/>
    </xf>
    <xf numFmtId="0" fontId="10" fillId="0" borderId="0" xfId="0" applyFont="1" applyFill="1" applyBorder="1" applyAlignment="1"/>
    <xf numFmtId="0" fontId="10" fillId="8" borderId="20" xfId="0" applyFont="1" applyFill="1" applyBorder="1" applyAlignment="1">
      <alignment wrapText="1"/>
    </xf>
    <xf numFmtId="0" fontId="10" fillId="8" borderId="20" xfId="0" applyFont="1" applyFill="1" applyBorder="1" applyAlignment="1"/>
    <xf numFmtId="0" fontId="11" fillId="0" borderId="22" xfId="0" applyFont="1" applyFill="1" applyBorder="1" applyAlignment="1">
      <alignment horizontal="left"/>
    </xf>
    <xf numFmtId="0" fontId="2" fillId="8" borderId="22" xfId="0" applyFont="1" applyFill="1" applyBorder="1" applyAlignment="1">
      <alignment horizontal="left" wrapText="1" indent="3"/>
    </xf>
    <xf numFmtId="0" fontId="2" fillId="8" borderId="22" xfId="0" applyFont="1" applyFill="1" applyBorder="1" applyAlignment="1">
      <alignment horizontal="left" indent="3"/>
    </xf>
    <xf numFmtId="0" fontId="2" fillId="8" borderId="22" xfId="0" applyFont="1" applyFill="1" applyBorder="1" applyAlignment="1"/>
    <xf numFmtId="0" fontId="2" fillId="0" borderId="30" xfId="0" applyFont="1" applyFill="1" applyBorder="1" applyAlignment="1">
      <alignment horizontal="left"/>
    </xf>
    <xf numFmtId="0" fontId="2" fillId="8" borderId="22" xfId="0" applyFont="1" applyFill="1" applyBorder="1" applyAlignment="1">
      <alignment horizontal="left" indent="2"/>
    </xf>
    <xf numFmtId="0" fontId="2" fillId="8" borderId="19" xfId="0" applyFont="1" applyFill="1" applyBorder="1" applyAlignment="1">
      <alignment horizontal="left" wrapText="1"/>
    </xf>
    <xf numFmtId="0" fontId="0" fillId="0" borderId="20" xfId="0" applyFill="1" applyBorder="1"/>
    <xf numFmtId="0" fontId="0" fillId="0" borderId="0" xfId="0" applyFill="1"/>
    <xf numFmtId="0" fontId="2" fillId="0" borderId="19" xfId="0" applyFont="1" applyFill="1" applyBorder="1" applyAlignment="1">
      <alignment horizontal="left" indent="1"/>
    </xf>
    <xf numFmtId="0" fontId="2" fillId="8" borderId="19" xfId="0" applyFont="1" applyFill="1" applyBorder="1" applyAlignment="1">
      <alignment horizontal="left"/>
    </xf>
    <xf numFmtId="0" fontId="10" fillId="8" borderId="19" xfId="0" applyFont="1" applyFill="1" applyBorder="1" applyAlignment="1">
      <alignment wrapText="1"/>
    </xf>
    <xf numFmtId="0" fontId="10" fillId="8" borderId="19" xfId="0" applyFont="1" applyFill="1" applyBorder="1" applyAlignment="1"/>
    <xf numFmtId="0" fontId="10" fillId="8" borderId="22" xfId="0" applyFont="1" applyFill="1" applyBorder="1" applyAlignment="1">
      <alignment wrapText="1"/>
    </xf>
    <xf numFmtId="0" fontId="0" fillId="0" borderId="0" xfId="0"/>
    <xf numFmtId="0" fontId="10" fillId="0" borderId="20" xfId="0" applyFont="1" applyFill="1" applyBorder="1" applyAlignment="1"/>
    <xf numFmtId="0" fontId="11" fillId="0" borderId="0" xfId="0" applyFont="1" applyFill="1" applyBorder="1" applyAlignment="1">
      <alignment horizontal="left" wrapText="1"/>
    </xf>
    <xf numFmtId="0" fontId="11" fillId="0" borderId="0" xfId="0" applyFont="1" applyFill="1" applyBorder="1" applyAlignment="1">
      <alignment horizontal="left"/>
    </xf>
    <xf numFmtId="0" fontId="2" fillId="0" borderId="19" xfId="0" applyFont="1" applyFill="1" applyBorder="1" applyAlignment="1">
      <alignment horizontal="left"/>
    </xf>
    <xf numFmtId="0" fontId="2" fillId="0" borderId="22" xfId="0" applyFont="1" applyFill="1" applyBorder="1" applyAlignment="1">
      <alignment horizontal="left"/>
    </xf>
    <xf numFmtId="0" fontId="10" fillId="0" borderId="19" xfId="0" applyFont="1" applyFill="1" applyBorder="1" applyAlignment="1"/>
    <xf numFmtId="0" fontId="10" fillId="0" borderId="20" xfId="0" applyFont="1" applyFill="1" applyBorder="1" applyAlignment="1">
      <alignment wrapText="1"/>
    </xf>
    <xf numFmtId="0" fontId="10" fillId="0" borderId="19" xfId="0" applyFont="1" applyFill="1" applyBorder="1" applyAlignment="1">
      <alignment wrapText="1"/>
    </xf>
    <xf numFmtId="0" fontId="4" fillId="0" borderId="30" xfId="0" applyFont="1" applyFill="1" applyBorder="1" applyAlignment="1">
      <alignment horizontal="left"/>
    </xf>
    <xf numFmtId="0" fontId="2" fillId="0" borderId="13" xfId="0" applyFont="1" applyFill="1" applyBorder="1" applyAlignment="1">
      <alignment horizontal="center"/>
    </xf>
    <xf numFmtId="0" fontId="10" fillId="0" borderId="0" xfId="0" applyFont="1" applyFill="1" applyBorder="1" applyAlignment="1">
      <alignment wrapText="1"/>
    </xf>
    <xf numFmtId="0" fontId="2" fillId="0" borderId="22" xfId="0" applyFont="1" applyFill="1" applyBorder="1" applyAlignment="1">
      <alignment horizontal="left" wrapText="1" indent="1"/>
    </xf>
    <xf numFmtId="0" fontId="2" fillId="0" borderId="19" xfId="0" applyFont="1" applyFill="1" applyBorder="1" applyAlignment="1">
      <alignment horizontal="left" wrapText="1" indent="1"/>
    </xf>
    <xf numFmtId="0" fontId="4" fillId="0" borderId="22" xfId="0" applyFont="1" applyFill="1" applyBorder="1" applyAlignment="1">
      <alignment horizontal="left" wrapText="1" indent="1"/>
    </xf>
    <xf numFmtId="0" fontId="4" fillId="0" borderId="20" xfId="0" applyFont="1" applyFill="1" applyBorder="1" applyAlignment="1">
      <alignment horizontal="left" wrapText="1" indent="1"/>
    </xf>
    <xf numFmtId="0" fontId="4" fillId="0" borderId="19" xfId="0" applyFont="1" applyFill="1" applyBorder="1" applyAlignment="1">
      <alignment horizontal="left" wrapText="1" indent="1"/>
    </xf>
    <xf numFmtId="0" fontId="2" fillId="8" borderId="19" xfId="0" applyFont="1" applyFill="1" applyBorder="1" applyAlignment="1">
      <alignment horizontal="left" wrapText="1" indent="1"/>
    </xf>
    <xf numFmtId="0" fontId="4" fillId="8" borderId="20" xfId="0" applyFont="1" applyFill="1" applyBorder="1" applyAlignment="1">
      <alignment horizontal="left" wrapText="1" indent="1"/>
    </xf>
    <xf numFmtId="0" fontId="2" fillId="8" borderId="22" xfId="0" applyFont="1" applyFill="1" applyBorder="1" applyAlignment="1">
      <alignment horizontal="left" wrapText="1" indent="1"/>
    </xf>
    <xf numFmtId="0" fontId="2" fillId="0" borderId="20" xfId="0" applyFont="1" applyFill="1" applyBorder="1" applyAlignment="1">
      <alignment horizontal="left" wrapText="1"/>
    </xf>
    <xf numFmtId="0" fontId="4" fillId="8" borderId="19" xfId="0" applyFont="1" applyFill="1" applyBorder="1" applyAlignment="1">
      <alignment horizontal="left" wrapText="1" indent="1"/>
    </xf>
    <xf numFmtId="0" fontId="4" fillId="8" borderId="19" xfId="0" applyFont="1" applyFill="1" applyBorder="1" applyAlignment="1">
      <alignment horizontal="left" wrapText="1"/>
    </xf>
    <xf numFmtId="0" fontId="4" fillId="0" borderId="22" xfId="0" applyFont="1" applyFill="1" applyBorder="1" applyAlignment="1">
      <alignment horizontal="left" wrapText="1"/>
    </xf>
    <xf numFmtId="0" fontId="2" fillId="8" borderId="19" xfId="0" applyFont="1" applyFill="1" applyBorder="1" applyAlignment="1">
      <alignment horizontal="left" wrapText="1" indent="2"/>
    </xf>
    <xf numFmtId="0" fontId="11" fillId="0" borderId="0" xfId="0" applyFont="1" applyFill="1" applyBorder="1" applyAlignment="1">
      <alignment wrapText="1"/>
    </xf>
    <xf numFmtId="0" fontId="11" fillId="0" borderId="0" xfId="0" applyFont="1" applyFill="1" applyBorder="1" applyAlignment="1"/>
    <xf numFmtId="0" fontId="2" fillId="0" borderId="20" xfId="0" applyFont="1" applyFill="1" applyBorder="1" applyAlignment="1">
      <alignment horizontal="left"/>
    </xf>
    <xf numFmtId="0" fontId="4" fillId="0" borderId="30" xfId="0" applyFont="1" applyBorder="1" applyAlignment="1">
      <alignment horizontal="left"/>
    </xf>
    <xf numFmtId="0" fontId="10" fillId="8" borderId="22" xfId="0" applyFont="1" applyFill="1" applyBorder="1" applyAlignment="1"/>
    <xf numFmtId="0" fontId="10" fillId="8" borderId="0" xfId="0" applyFont="1" applyFill="1" applyBorder="1" applyAlignment="1"/>
    <xf numFmtId="0" fontId="4" fillId="0" borderId="19" xfId="0" applyFont="1" applyBorder="1" applyAlignment="1">
      <alignment horizontal="left" wrapText="1"/>
    </xf>
    <xf numFmtId="0" fontId="10" fillId="0" borderId="19" xfId="0" applyFont="1" applyBorder="1" applyAlignment="1">
      <alignment horizontal="left" wrapText="1"/>
    </xf>
    <xf numFmtId="0" fontId="11" fillId="0" borderId="22" xfId="0" applyFont="1" applyBorder="1" applyAlignment="1">
      <alignment horizontal="left" wrapText="1"/>
    </xf>
    <xf numFmtId="0" fontId="2" fillId="0" borderId="19" xfId="0" applyFont="1" applyBorder="1" applyAlignment="1">
      <alignment wrapText="1"/>
    </xf>
    <xf numFmtId="0" fontId="2" fillId="0" borderId="19" xfId="0" applyFont="1" applyBorder="1" applyAlignment="1"/>
    <xf numFmtId="0" fontId="4" fillId="0" borderId="22" xfId="0" applyFont="1" applyBorder="1" applyAlignment="1">
      <alignment wrapText="1"/>
    </xf>
    <xf numFmtId="0" fontId="4" fillId="0" borderId="22" xfId="0" applyFont="1" applyBorder="1" applyAlignment="1"/>
    <xf numFmtId="0" fontId="0" fillId="0" borderId="20" xfId="0" applyBorder="1" applyAlignment="1">
      <alignment horizontal="left"/>
    </xf>
    <xf numFmtId="0" fontId="2" fillId="0" borderId="22" xfId="0" applyFont="1" applyBorder="1" applyAlignment="1">
      <alignment wrapText="1"/>
    </xf>
    <xf numFmtId="0" fontId="2" fillId="0" borderId="22" xfId="0" applyFont="1" applyBorder="1" applyAlignment="1"/>
    <xf numFmtId="0" fontId="4" fillId="0" borderId="20" xfId="0" applyFont="1" applyBorder="1" applyAlignment="1">
      <alignment wrapText="1"/>
    </xf>
    <xf numFmtId="0" fontId="4" fillId="0" borderId="20" xfId="0" applyFont="1" applyBorder="1" applyAlignment="1"/>
    <xf numFmtId="0" fontId="2" fillId="9" borderId="19" xfId="0" applyFont="1" applyFill="1" applyBorder="1" applyAlignment="1">
      <alignment wrapText="1"/>
    </xf>
    <xf numFmtId="0" fontId="2" fillId="9" borderId="19" xfId="0" applyFont="1" applyFill="1" applyBorder="1" applyAlignment="1"/>
    <xf numFmtId="0" fontId="4" fillId="0" borderId="0" xfId="0" applyFont="1" applyBorder="1" applyAlignment="1">
      <alignment wrapText="1"/>
    </xf>
    <xf numFmtId="0" fontId="4" fillId="0" borderId="0" xfId="0" applyFont="1" applyBorder="1" applyAlignment="1"/>
    <xf numFmtId="0" fontId="2" fillId="0" borderId="30" xfId="0" applyFont="1" applyBorder="1" applyAlignment="1"/>
    <xf numFmtId="0" fontId="2" fillId="0" borderId="13" xfId="0" applyFont="1" applyBorder="1" applyAlignment="1">
      <alignment horizontal="left"/>
    </xf>
    <xf numFmtId="0" fontId="2" fillId="0" borderId="19" xfId="0" applyFont="1" applyBorder="1" applyAlignment="1">
      <alignment horizontal="left" wrapText="1"/>
    </xf>
    <xf numFmtId="0" fontId="2" fillId="0" borderId="22" xfId="0" applyFont="1" applyBorder="1" applyAlignment="1">
      <alignment vertical="top" wrapText="1"/>
    </xf>
    <xf numFmtId="0" fontId="2" fillId="0" borderId="22" xfId="0" applyFont="1" applyBorder="1" applyAlignment="1">
      <alignment vertical="top"/>
    </xf>
    <xf numFmtId="0" fontId="2" fillId="0" borderId="19" xfId="0" applyFont="1" applyBorder="1" applyAlignment="1">
      <alignment vertical="top" wrapText="1"/>
    </xf>
    <xf numFmtId="0" fontId="2" fillId="0" borderId="19" xfId="0" applyFont="1" applyBorder="1" applyAlignment="1">
      <alignment vertical="top"/>
    </xf>
    <xf numFmtId="0" fontId="4" fillId="9" borderId="19" xfId="0" quotePrefix="1" applyFont="1" applyFill="1" applyBorder="1" applyAlignment="1">
      <alignment horizontal="left" wrapText="1"/>
    </xf>
    <xf numFmtId="0" fontId="2" fillId="0" borderId="0" xfId="0" applyFont="1" applyBorder="1" applyAlignment="1">
      <alignment wrapText="1"/>
    </xf>
    <xf numFmtId="0" fontId="2" fillId="0" borderId="0" xfId="0" applyFont="1" applyBorder="1" applyAlignment="1"/>
    <xf numFmtId="0" fontId="2" fillId="0" borderId="20" xfId="0" applyFont="1" applyBorder="1" applyAlignment="1">
      <alignment wrapText="1"/>
    </xf>
    <xf numFmtId="0" fontId="2" fillId="0" borderId="20" xfId="0" applyFont="1" applyBorder="1" applyAlignment="1"/>
    <xf numFmtId="0" fontId="4" fillId="0" borderId="22" xfId="0" quotePrefix="1" applyFont="1" applyBorder="1" applyAlignment="1">
      <alignment wrapText="1"/>
    </xf>
    <xf numFmtId="0" fontId="10" fillId="0" borderId="22" xfId="0" applyFont="1" applyBorder="1" applyAlignment="1">
      <alignment wrapText="1"/>
    </xf>
    <xf numFmtId="0" fontId="10" fillId="0" borderId="22" xfId="0" applyFont="1" applyBorder="1" applyAlignment="1"/>
    <xf numFmtId="0" fontId="2" fillId="9" borderId="22" xfId="0" applyFont="1" applyFill="1" applyBorder="1" applyAlignment="1">
      <alignment wrapText="1"/>
    </xf>
    <xf numFmtId="0" fontId="2" fillId="9" borderId="22" xfId="0" applyFont="1" applyFill="1" applyBorder="1" applyAlignment="1"/>
    <xf numFmtId="0" fontId="20" fillId="9" borderId="0" xfId="0" applyFont="1" applyFill="1" applyBorder="1" applyAlignment="1">
      <alignment wrapText="1"/>
    </xf>
    <xf numFmtId="0" fontId="20" fillId="9" borderId="0" xfId="0" applyFont="1" applyFill="1" applyBorder="1" applyAlignment="1"/>
    <xf numFmtId="0" fontId="2" fillId="9" borderId="0" xfId="0" applyFont="1" applyFill="1" applyBorder="1" applyAlignment="1">
      <alignment wrapText="1"/>
    </xf>
    <xf numFmtId="0" fontId="2" fillId="9" borderId="0" xfId="0" applyFont="1" applyFill="1" applyBorder="1" applyAlignment="1"/>
    <xf numFmtId="0" fontId="2" fillId="0" borderId="30" xfId="0" applyFont="1" applyBorder="1" applyAlignment="1">
      <alignment horizontal="left"/>
    </xf>
    <xf numFmtId="0" fontId="2" fillId="7" borderId="22" xfId="0" applyFont="1" applyFill="1" applyBorder="1" applyAlignment="1">
      <alignment horizontal="left" wrapText="1" indent="2"/>
    </xf>
    <xf numFmtId="0" fontId="2" fillId="7" borderId="22" xfId="0" applyFont="1" applyFill="1" applyBorder="1" applyAlignment="1">
      <alignment horizontal="left" indent="2"/>
    </xf>
    <xf numFmtId="0" fontId="20" fillId="9" borderId="22" xfId="0" applyFont="1" applyFill="1" applyBorder="1" applyAlignment="1">
      <alignment wrapText="1"/>
    </xf>
    <xf numFmtId="0" fontId="10" fillId="9" borderId="22" xfId="0" applyFont="1" applyFill="1" applyBorder="1" applyAlignment="1">
      <alignment wrapText="1"/>
    </xf>
    <xf numFmtId="0" fontId="2" fillId="7" borderId="19" xfId="0" applyFont="1" applyFill="1" applyBorder="1" applyAlignment="1">
      <alignment horizontal="left" wrapText="1" indent="3"/>
    </xf>
    <xf numFmtId="0" fontId="2" fillId="7" borderId="19" xfId="0" applyFont="1" applyFill="1" applyBorder="1" applyAlignment="1">
      <alignment horizontal="left" wrapText="1"/>
    </xf>
    <xf numFmtId="0" fontId="2" fillId="7" borderId="22" xfId="0" applyFont="1" applyFill="1" applyBorder="1" applyAlignment="1">
      <alignment wrapText="1"/>
    </xf>
    <xf numFmtId="0" fontId="2" fillId="7" borderId="22" xfId="0" applyFont="1" applyFill="1" applyBorder="1" applyAlignment="1"/>
    <xf numFmtId="0" fontId="2" fillId="7" borderId="22" xfId="0" applyFont="1" applyFill="1" applyBorder="1" applyAlignment="1">
      <alignment horizontal="left" wrapText="1" indent="3"/>
    </xf>
    <xf numFmtId="0" fontId="2" fillId="7" borderId="22" xfId="0" applyFont="1" applyFill="1" applyBorder="1" applyAlignment="1">
      <alignment horizontal="left" indent="3"/>
    </xf>
    <xf numFmtId="0" fontId="2" fillId="7" borderId="22" xfId="0" applyFont="1" applyFill="1" applyBorder="1" applyAlignment="1">
      <alignment horizontal="left" wrapText="1" indent="1"/>
    </xf>
    <xf numFmtId="0" fontId="2" fillId="7" borderId="22" xfId="0" applyFont="1" applyFill="1" applyBorder="1" applyAlignment="1">
      <alignment horizontal="left" indent="1"/>
    </xf>
    <xf numFmtId="0" fontId="11" fillId="9" borderId="22" xfId="0" applyFont="1" applyFill="1" applyBorder="1" applyAlignment="1">
      <alignment horizontal="left" wrapText="1"/>
    </xf>
    <xf numFmtId="0" fontId="11" fillId="9" borderId="22" xfId="0" applyFont="1" applyFill="1" applyBorder="1" applyAlignment="1">
      <alignment horizontal="left"/>
    </xf>
    <xf numFmtId="0" fontId="10" fillId="9" borderId="22" xfId="0" applyFont="1" applyFill="1" applyBorder="1" applyAlignment="1"/>
    <xf numFmtId="0" fontId="13" fillId="7" borderId="22" xfId="0" applyFont="1" applyFill="1" applyBorder="1" applyAlignment="1">
      <alignment horizontal="left" wrapText="1" indent="3"/>
    </xf>
    <xf numFmtId="0" fontId="2" fillId="7" borderId="22" xfId="0" applyFont="1" applyFill="1" applyBorder="1" applyAlignment="1">
      <alignment horizontal="left" wrapText="1"/>
    </xf>
    <xf numFmtId="0" fontId="2" fillId="7" borderId="22" xfId="0" applyFont="1" applyFill="1" applyBorder="1" applyAlignment="1">
      <alignment horizontal="left"/>
    </xf>
    <xf numFmtId="0" fontId="13" fillId="9" borderId="19" xfId="0" applyFont="1" applyFill="1" applyBorder="1" applyAlignment="1"/>
    <xf numFmtId="0" fontId="2" fillId="7" borderId="19" xfId="0" applyFont="1" applyFill="1" applyBorder="1" applyAlignment="1">
      <alignment wrapText="1"/>
    </xf>
    <xf numFmtId="0" fontId="2" fillId="7" borderId="19" xfId="0" applyFont="1" applyFill="1" applyBorder="1" applyAlignment="1"/>
    <xf numFmtId="0" fontId="2" fillId="7" borderId="22" xfId="0" quotePrefix="1" applyFont="1" applyFill="1" applyBorder="1" applyAlignment="1">
      <alignment horizontal="left" wrapText="1" indent="1"/>
    </xf>
    <xf numFmtId="0" fontId="10" fillId="7" borderId="19" xfId="0" applyFont="1" applyFill="1" applyBorder="1" applyAlignment="1">
      <alignment wrapText="1"/>
    </xf>
    <xf numFmtId="0" fontId="2" fillId="7" borderId="20" xfId="0" applyFont="1" applyFill="1" applyBorder="1" applyAlignment="1">
      <alignment horizontal="left" wrapText="1"/>
    </xf>
    <xf numFmtId="0" fontId="13" fillId="7" borderId="19" xfId="0" applyFont="1" applyFill="1" applyBorder="1" applyAlignment="1">
      <alignment wrapText="1"/>
    </xf>
    <xf numFmtId="0" fontId="2" fillId="0" borderId="19" xfId="0" applyFont="1" applyBorder="1" applyAlignment="1">
      <alignment horizontal="left" indent="1"/>
    </xf>
    <xf numFmtId="0" fontId="11" fillId="9" borderId="0" xfId="0" applyFont="1" applyFill="1" applyBorder="1" applyAlignment="1">
      <alignment horizontal="left" wrapText="1"/>
    </xf>
    <xf numFmtId="0" fontId="11" fillId="9" borderId="0" xfId="0" applyFont="1" applyFill="1" applyBorder="1" applyAlignment="1">
      <alignment horizontal="left"/>
    </xf>
    <xf numFmtId="0" fontId="11" fillId="7" borderId="0" xfId="0" applyFont="1" applyFill="1" applyBorder="1" applyAlignment="1">
      <alignment horizontal="left" wrapText="1"/>
    </xf>
    <xf numFmtId="0" fontId="11" fillId="7" borderId="0" xfId="0" applyFont="1" applyFill="1" applyBorder="1" applyAlignment="1">
      <alignment horizontal="left"/>
    </xf>
    <xf numFmtId="0" fontId="10" fillId="0" borderId="20" xfId="0" applyFont="1" applyBorder="1" applyAlignment="1"/>
    <xf numFmtId="0" fontId="10" fillId="0" borderId="19" xfId="0" applyFont="1" applyBorder="1" applyAlignment="1">
      <alignment wrapText="1"/>
    </xf>
    <xf numFmtId="0" fontId="10" fillId="0" borderId="19" xfId="0" applyFont="1" applyBorder="1" applyAlignment="1"/>
    <xf numFmtId="0" fontId="10" fillId="9" borderId="20" xfId="0" applyFont="1" applyFill="1" applyBorder="1" applyAlignment="1">
      <alignment wrapText="1"/>
    </xf>
    <xf numFmtId="0" fontId="10" fillId="9" borderId="20" xfId="0" applyFont="1" applyFill="1" applyBorder="1" applyAlignment="1"/>
    <xf numFmtId="0" fontId="11" fillId="7" borderId="22" xfId="0" applyFont="1" applyFill="1" applyBorder="1" applyAlignment="1">
      <alignment horizontal="left" wrapText="1"/>
    </xf>
    <xf numFmtId="0" fontId="54" fillId="8" borderId="22" xfId="0" applyFont="1" applyFill="1" applyBorder="1" applyAlignment="1"/>
    <xf numFmtId="0" fontId="40" fillId="8" borderId="0" xfId="0" applyFont="1" applyFill="1" applyBorder="1" applyAlignment="1">
      <alignment horizontal="left" wrapText="1"/>
    </xf>
    <xf numFmtId="0" fontId="60" fillId="8" borderId="0" xfId="0" applyFont="1" applyFill="1" applyBorder="1" applyAlignment="1">
      <alignment wrapText="1"/>
    </xf>
    <xf numFmtId="0" fontId="60" fillId="8" borderId="0" xfId="0" applyFont="1" applyFill="1" applyBorder="1" applyAlignment="1"/>
    <xf numFmtId="0" fontId="60" fillId="8" borderId="19" xfId="0" applyFont="1" applyFill="1" applyBorder="1" applyAlignment="1">
      <alignment wrapText="1"/>
    </xf>
    <xf numFmtId="0" fontId="60" fillId="8" borderId="19" xfId="0" applyFont="1" applyFill="1" applyBorder="1" applyAlignment="1"/>
    <xf numFmtId="0" fontId="60" fillId="8" borderId="20" xfId="0" applyFont="1" applyFill="1" applyBorder="1" applyAlignment="1">
      <alignment wrapText="1"/>
    </xf>
    <xf numFmtId="0" fontId="60" fillId="8" borderId="20" xfId="0" applyFont="1" applyFill="1" applyBorder="1" applyAlignment="1"/>
    <xf numFmtId="0" fontId="61" fillId="8" borderId="19" xfId="0" applyFont="1" applyFill="1" applyBorder="1" applyAlignment="1">
      <alignment wrapText="1"/>
    </xf>
    <xf numFmtId="0" fontId="61" fillId="8" borderId="19" xfId="0" applyFont="1" applyFill="1" applyBorder="1" applyAlignment="1"/>
    <xf numFmtId="0" fontId="54" fillId="8" borderId="22" xfId="0" applyFont="1" applyFill="1" applyBorder="1" applyAlignment="1">
      <alignment wrapText="1"/>
    </xf>
    <xf numFmtId="0" fontId="54" fillId="8" borderId="19" xfId="0" applyFont="1" applyFill="1" applyBorder="1" applyAlignment="1">
      <alignment wrapText="1"/>
    </xf>
    <xf numFmtId="0" fontId="54" fillId="8" borderId="19" xfId="0" applyFont="1" applyFill="1" applyBorder="1" applyAlignment="1">
      <alignment horizontal="left" wrapText="1" indent="1"/>
    </xf>
    <xf numFmtId="0" fontId="54" fillId="8" borderId="22" xfId="0" applyFont="1" applyFill="1" applyBorder="1" applyAlignment="1">
      <alignment horizontal="left" wrapText="1" indent="1"/>
    </xf>
    <xf numFmtId="0" fontId="62" fillId="8" borderId="22" xfId="0" applyFont="1" applyFill="1" applyBorder="1" applyAlignment="1">
      <alignment horizontal="left" wrapText="1" indent="1"/>
    </xf>
    <xf numFmtId="0" fontId="62" fillId="8" borderId="19" xfId="0" applyFont="1" applyFill="1" applyBorder="1" applyAlignment="1">
      <alignment horizontal="left" wrapText="1" indent="1"/>
    </xf>
    <xf numFmtId="0" fontId="62" fillId="8" borderId="20" xfId="0" applyFont="1" applyFill="1" applyBorder="1" applyAlignment="1">
      <alignment horizontal="left" wrapText="1" indent="1"/>
    </xf>
    <xf numFmtId="0" fontId="2" fillId="8" borderId="25" xfId="0" applyFont="1" applyFill="1" applyBorder="1" applyAlignment="1">
      <alignment horizontal="center" vertical="top" wrapText="1"/>
    </xf>
    <xf numFmtId="0" fontId="2" fillId="8" borderId="15" xfId="0" applyFont="1" applyFill="1" applyBorder="1" applyAlignment="1">
      <alignment horizontal="center" vertical="top" wrapText="1"/>
    </xf>
    <xf numFmtId="0" fontId="2" fillId="7" borderId="9" xfId="0" applyFont="1" applyFill="1" applyBorder="1" applyAlignment="1">
      <alignment horizontal="left" vertical="top" wrapText="1"/>
    </xf>
    <xf numFmtId="0" fontId="2" fillId="7" borderId="8" xfId="0" applyFont="1" applyFill="1" applyBorder="1" applyAlignment="1">
      <alignment horizontal="left" vertical="top" wrapText="1"/>
    </xf>
    <xf numFmtId="0" fontId="2" fillId="7" borderId="7" xfId="0" applyFont="1" applyFill="1" applyBorder="1" applyAlignment="1">
      <alignment horizontal="left" vertical="top" wrapText="1"/>
    </xf>
    <xf numFmtId="0" fontId="2" fillId="0" borderId="14" xfId="0" applyFont="1" applyBorder="1" applyAlignment="1">
      <alignment vertical="top"/>
    </xf>
    <xf numFmtId="0" fontId="2" fillId="0" borderId="13" xfId="0" applyFont="1" applyBorder="1" applyAlignment="1">
      <alignment vertical="top"/>
    </xf>
    <xf numFmtId="0" fontId="2" fillId="0" borderId="12" xfId="0" applyFont="1" applyBorder="1" applyAlignment="1">
      <alignment vertical="top"/>
    </xf>
    <xf numFmtId="0" fontId="2" fillId="0" borderId="25" xfId="0" applyFont="1" applyBorder="1" applyAlignment="1">
      <alignment horizontal="center" vertical="top" wrapText="1"/>
    </xf>
    <xf numFmtId="0" fontId="2" fillId="0" borderId="15" xfId="0" applyFont="1" applyBorder="1" applyAlignment="1">
      <alignment horizontal="center" vertical="top" wrapText="1"/>
    </xf>
    <xf numFmtId="0" fontId="2" fillId="0" borderId="14" xfId="0" applyFont="1" applyFill="1" applyBorder="1" applyAlignment="1">
      <alignment vertical="top"/>
    </xf>
    <xf numFmtId="0" fontId="2" fillId="0" borderId="13" xfId="0" applyFont="1" applyFill="1" applyBorder="1" applyAlignment="1">
      <alignment vertical="top"/>
    </xf>
    <xf numFmtId="0" fontId="2" fillId="0" borderId="12" xfId="0" applyFont="1" applyFill="1" applyBorder="1" applyAlignment="1">
      <alignment vertical="top"/>
    </xf>
    <xf numFmtId="0" fontId="2" fillId="0" borderId="9"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25" xfId="0" applyFont="1" applyFill="1" applyBorder="1" applyAlignment="1">
      <alignment vertical="top" wrapText="1"/>
    </xf>
    <xf numFmtId="0" fontId="2" fillId="0" borderId="15" xfId="0" applyFont="1" applyFill="1" applyBorder="1" applyAlignment="1">
      <alignment vertical="top" wrapText="1"/>
    </xf>
    <xf numFmtId="0" fontId="0" fillId="0" borderId="25" xfId="0" applyBorder="1" applyAlignment="1">
      <alignment horizontal="left" vertical="top" indent="1"/>
    </xf>
    <xf numFmtId="0" fontId="0" fillId="0" borderId="6" xfId="0" applyBorder="1" applyAlignment="1">
      <alignment horizontal="left" vertical="top" indent="1"/>
    </xf>
    <xf numFmtId="167" fontId="4" fillId="7" borderId="22" xfId="11" applyFont="1" applyFill="1" applyBorder="1" applyAlignment="1">
      <alignment horizontal="left"/>
    </xf>
    <xf numFmtId="167" fontId="2" fillId="7" borderId="22" xfId="11" applyFont="1" applyFill="1" applyBorder="1" applyAlignment="1">
      <alignment horizontal="left"/>
    </xf>
    <xf numFmtId="167" fontId="11" fillId="7" borderId="22" xfId="11" applyFont="1" applyFill="1" applyBorder="1" applyAlignment="1">
      <alignment horizontal="left"/>
    </xf>
    <xf numFmtId="167" fontId="10" fillId="9" borderId="19" xfId="11" applyFont="1" applyFill="1" applyBorder="1" applyAlignment="1">
      <alignment horizontal="left"/>
    </xf>
    <xf numFmtId="167" fontId="2" fillId="9" borderId="19" xfId="11" applyFont="1" applyFill="1" applyBorder="1" applyAlignment="1">
      <alignment horizontal="left"/>
    </xf>
    <xf numFmtId="167" fontId="2" fillId="8" borderId="19" xfId="11" applyFont="1" applyFill="1" applyBorder="1">
      <alignment horizontal="left"/>
    </xf>
    <xf numFmtId="0" fontId="0" fillId="8" borderId="13" xfId="0" applyFill="1" applyBorder="1"/>
    <xf numFmtId="0" fontId="4" fillId="8" borderId="22" xfId="0" applyFont="1" applyFill="1" applyBorder="1" applyAlignment="1">
      <alignment horizontal="left" wrapText="1"/>
    </xf>
    <xf numFmtId="0" fontId="0" fillId="8" borderId="30" xfId="0" applyFill="1" applyBorder="1"/>
    <xf numFmtId="0" fontId="2" fillId="8" borderId="30" xfId="0" applyFont="1" applyFill="1" applyBorder="1" applyAlignment="1"/>
    <xf numFmtId="0" fontId="57" fillId="15" borderId="2" xfId="13" quotePrefix="1" applyFont="1" applyFill="1" applyBorder="1" applyAlignment="1">
      <alignment horizontal="left" vertical="center" wrapText="1"/>
    </xf>
    <xf numFmtId="0" fontId="57" fillId="15" borderId="6" xfId="13" applyFont="1" applyFill="1" applyBorder="1" applyAlignment="1">
      <alignment horizontal="left" vertical="center" wrapText="1"/>
    </xf>
    <xf numFmtId="0" fontId="57" fillId="15" borderId="3" xfId="13" applyFont="1" applyFill="1" applyBorder="1" applyAlignment="1">
      <alignment horizontal="left" vertical="center" wrapText="1"/>
    </xf>
    <xf numFmtId="0" fontId="57" fillId="15" borderId="2" xfId="13" applyFont="1" applyFill="1" applyBorder="1" applyAlignment="1">
      <alignment horizontal="left" vertical="center" wrapText="1"/>
    </xf>
    <xf numFmtId="0" fontId="0" fillId="0" borderId="12" xfId="0" applyBorder="1" applyAlignment="1">
      <alignment horizontal="center"/>
    </xf>
    <xf numFmtId="0" fontId="0" fillId="0" borderId="7" xfId="0" applyBorder="1" applyAlignment="1">
      <alignment horizontal="center"/>
    </xf>
    <xf numFmtId="0" fontId="0" fillId="0" borderId="25" xfId="0" applyBorder="1" applyAlignment="1">
      <alignment horizontal="center"/>
    </xf>
    <xf numFmtId="0" fontId="0" fillId="0" borderId="5" xfId="0" applyBorder="1" applyAlignment="1">
      <alignment horizontal="center"/>
    </xf>
    <xf numFmtId="167" fontId="4" fillId="7" borderId="19" xfId="11" applyFill="1" applyBorder="1">
      <alignment horizontal="left"/>
    </xf>
    <xf numFmtId="167" fontId="4" fillId="7" borderId="34" xfId="11" applyFill="1" applyBorder="1">
      <alignment horizontal="left"/>
    </xf>
    <xf numFmtId="167" fontId="2" fillId="7" borderId="19" xfId="11" applyFont="1" applyFill="1" applyBorder="1">
      <alignment horizontal="left"/>
    </xf>
    <xf numFmtId="167" fontId="2" fillId="7" borderId="34" xfId="11" applyFont="1" applyFill="1" applyBorder="1">
      <alignment horizontal="left"/>
    </xf>
    <xf numFmtId="167" fontId="2" fillId="7" borderId="38" xfId="11" applyFont="1" applyFill="1" applyBorder="1">
      <alignment horizontal="left"/>
    </xf>
    <xf numFmtId="167" fontId="2" fillId="7" borderId="24" xfId="11" applyFont="1" applyFill="1" applyBorder="1">
      <alignment horizontal="left"/>
    </xf>
    <xf numFmtId="0" fontId="2" fillId="0" borderId="22" xfId="0" applyFont="1" applyBorder="1" applyAlignment="1">
      <alignment horizontal="left" wrapText="1"/>
    </xf>
    <xf numFmtId="0" fontId="4" fillId="0" borderId="19" xfId="0" applyFont="1" applyFill="1" applyBorder="1" applyAlignment="1">
      <alignment horizontal="left"/>
    </xf>
    <xf numFmtId="0" fontId="4" fillId="0" borderId="0" xfId="0" applyFont="1" applyFill="1" applyAlignment="1">
      <alignment horizontal="left" wrapText="1"/>
    </xf>
    <xf numFmtId="0" fontId="4" fillId="0" borderId="20" xfId="0" applyFont="1" applyFill="1" applyBorder="1" applyAlignment="1">
      <alignment horizontal="left"/>
    </xf>
    <xf numFmtId="0" fontId="4" fillId="0" borderId="0" xfId="0" applyFont="1" applyFill="1" applyBorder="1" applyAlignment="1">
      <alignment horizontal="left"/>
    </xf>
    <xf numFmtId="0" fontId="47" fillId="7" borderId="22" xfId="0" applyFont="1" applyFill="1" applyBorder="1" applyAlignment="1">
      <alignment horizontal="left"/>
    </xf>
    <xf numFmtId="0" fontId="4" fillId="7" borderId="20" xfId="0" applyFont="1" applyFill="1" applyBorder="1" applyAlignment="1">
      <alignment horizontal="left"/>
    </xf>
    <xf numFmtId="0" fontId="2" fillId="0" borderId="0" xfId="0" applyFont="1" applyFill="1" applyBorder="1" applyAlignment="1">
      <alignment horizontal="left" indent="1"/>
    </xf>
    <xf numFmtId="0" fontId="47" fillId="0" borderId="0" xfId="0" applyFont="1" applyFill="1" applyBorder="1" applyAlignment="1">
      <alignment horizontal="left"/>
    </xf>
    <xf numFmtId="0" fontId="4" fillId="0" borderId="0" xfId="0" applyFont="1" applyFill="1" applyBorder="1" applyAlignment="1">
      <alignment horizontal="left" wrapText="1"/>
    </xf>
    <xf numFmtId="0" fontId="4" fillId="0" borderId="22" xfId="0" applyFont="1" applyFill="1" applyBorder="1" applyAlignment="1">
      <alignment horizontal="left"/>
    </xf>
    <xf numFmtId="0" fontId="2" fillId="7" borderId="19" xfId="0" applyFont="1" applyFill="1" applyBorder="1" applyAlignment="1">
      <alignment horizontal="left"/>
    </xf>
    <xf numFmtId="0" fontId="4" fillId="7" borderId="0" xfId="0" applyFont="1" applyFill="1" applyBorder="1" applyAlignment="1">
      <alignment horizontal="left"/>
    </xf>
    <xf numFmtId="0" fontId="2" fillId="0" borderId="0" xfId="0" applyFont="1" applyFill="1" applyBorder="1" applyAlignment="1">
      <alignment horizontal="left"/>
    </xf>
    <xf numFmtId="0" fontId="0" fillId="7" borderId="0" xfId="0" applyFill="1" applyAlignment="1">
      <alignment horizontal="left" indent="3"/>
    </xf>
    <xf numFmtId="0" fontId="4" fillId="7" borderId="0" xfId="0" applyFont="1" applyFill="1" applyAlignment="1">
      <alignment horizontal="left"/>
    </xf>
    <xf numFmtId="0" fontId="14" fillId="7" borderId="0" xfId="0" applyFont="1" applyFill="1" applyAlignment="1">
      <alignment horizontal="left"/>
    </xf>
    <xf numFmtId="0" fontId="0" fillId="7" borderId="0" xfId="0" applyFill="1" applyAlignment="1">
      <alignment horizontal="left" indent="1"/>
    </xf>
    <xf numFmtId="0" fontId="0" fillId="7" borderId="0" xfId="0" applyFill="1" applyAlignment="1">
      <alignment horizontal="left" indent="2"/>
    </xf>
    <xf numFmtId="0" fontId="0" fillId="7" borderId="0" xfId="0" applyFill="1" applyAlignment="1">
      <alignment horizontal="left" indent="4"/>
    </xf>
    <xf numFmtId="167" fontId="10" fillId="8" borderId="22" xfId="11" applyFont="1" applyFill="1" applyBorder="1" applyAlignment="1">
      <alignment horizontal="left" vertical="top"/>
    </xf>
    <xf numFmtId="0" fontId="10" fillId="0" borderId="30" xfId="0" applyFont="1" applyBorder="1" applyAlignment="1">
      <alignment vertical="top"/>
    </xf>
    <xf numFmtId="167" fontId="4" fillId="0" borderId="22" xfId="11" applyBorder="1" applyAlignment="1">
      <alignment horizontal="left" vertical="top"/>
    </xf>
    <xf numFmtId="0" fontId="2" fillId="0" borderId="22" xfId="0" applyFont="1" applyBorder="1" applyAlignment="1">
      <alignment horizontal="left" vertical="top" wrapText="1"/>
    </xf>
    <xf numFmtId="0" fontId="2" fillId="0" borderId="22" xfId="0" applyFont="1" applyBorder="1" applyAlignment="1">
      <alignment horizontal="left" vertical="top"/>
    </xf>
    <xf numFmtId="167" fontId="4" fillId="7" borderId="22" xfId="11" applyFill="1" applyBorder="1" applyAlignment="1">
      <alignment horizontal="left" vertical="top"/>
    </xf>
    <xf numFmtId="0" fontId="2" fillId="0" borderId="30" xfId="0" applyFont="1" applyFill="1" applyBorder="1" applyAlignment="1">
      <alignment vertical="top"/>
    </xf>
    <xf numFmtId="0" fontId="2" fillId="7" borderId="19" xfId="0" applyFont="1" applyFill="1" applyBorder="1" applyAlignment="1">
      <alignment horizontal="left" vertical="top" wrapText="1"/>
    </xf>
    <xf numFmtId="167" fontId="4" fillId="9" borderId="22" xfId="11" applyFill="1" applyBorder="1" applyAlignment="1">
      <alignment horizontal="left" vertical="top"/>
    </xf>
    <xf numFmtId="167" fontId="10" fillId="0" borderId="22" xfId="11" applyFont="1" applyBorder="1" applyAlignment="1">
      <alignment horizontal="left" vertical="top"/>
    </xf>
    <xf numFmtId="167" fontId="10" fillId="7" borderId="22" xfId="11" applyFont="1" applyFill="1" applyBorder="1" applyAlignment="1">
      <alignment horizontal="left" vertical="top"/>
    </xf>
    <xf numFmtId="0" fontId="2" fillId="9" borderId="22" xfId="0" applyFont="1" applyFill="1" applyBorder="1" applyAlignment="1">
      <alignment horizontal="left" vertical="top" wrapText="1"/>
    </xf>
    <xf numFmtId="0" fontId="2" fillId="9" borderId="22" xfId="0" applyFont="1" applyFill="1" applyBorder="1" applyAlignment="1">
      <alignment horizontal="left" vertical="top"/>
    </xf>
    <xf numFmtId="167" fontId="4" fillId="0" borderId="0" xfId="11" applyBorder="1" applyAlignment="1">
      <alignment horizontal="left" vertical="top"/>
    </xf>
    <xf numFmtId="0" fontId="2" fillId="0" borderId="19" xfId="0" applyFont="1" applyBorder="1" applyAlignment="1">
      <alignment horizontal="left" vertical="top" wrapText="1"/>
    </xf>
    <xf numFmtId="0" fontId="2" fillId="8" borderId="19" xfId="0" applyFont="1" applyFill="1" applyBorder="1" applyAlignment="1">
      <alignment horizontal="left" vertical="top" wrapText="1"/>
    </xf>
    <xf numFmtId="0" fontId="2" fillId="8" borderId="22" xfId="0" applyFont="1" applyFill="1" applyBorder="1" applyAlignment="1">
      <alignment horizontal="left" vertical="top" wrapText="1"/>
    </xf>
    <xf numFmtId="0" fontId="2" fillId="8" borderId="22" xfId="0" applyFont="1" applyFill="1" applyBorder="1" applyAlignment="1">
      <alignment horizontal="left" vertical="top"/>
    </xf>
    <xf numFmtId="0" fontId="2" fillId="9" borderId="19" xfId="0" applyFont="1" applyFill="1" applyBorder="1" applyAlignment="1">
      <alignment horizontal="left" vertical="top" wrapText="1"/>
    </xf>
    <xf numFmtId="0" fontId="10" fillId="0" borderId="22" xfId="0" applyFont="1" applyBorder="1" applyAlignment="1">
      <alignment horizontal="left" vertical="top" wrapText="1"/>
    </xf>
    <xf numFmtId="0" fontId="13" fillId="9" borderId="19" xfId="0" applyFont="1" applyFill="1" applyBorder="1" applyAlignment="1">
      <alignment horizontal="left" vertical="top" wrapText="1"/>
    </xf>
    <xf numFmtId="0" fontId="2" fillId="7" borderId="22" xfId="0" applyFont="1" applyFill="1" applyBorder="1" applyAlignment="1">
      <alignment horizontal="left" vertical="top" wrapText="1"/>
    </xf>
    <xf numFmtId="0" fontId="2" fillId="7" borderId="22" xfId="0" applyFont="1" applyFill="1" applyBorder="1" applyAlignment="1">
      <alignment horizontal="left" vertical="top"/>
    </xf>
    <xf numFmtId="0" fontId="2" fillId="13" borderId="19" xfId="20" applyFont="1" applyFill="1" applyBorder="1" applyAlignment="1">
      <alignment horizontal="left" wrapText="1"/>
    </xf>
    <xf numFmtId="0" fontId="2" fillId="0" borderId="20" xfId="20" applyFont="1" applyBorder="1" applyAlignment="1">
      <alignment horizontal="left" wrapText="1"/>
    </xf>
    <xf numFmtId="0" fontId="10" fillId="0" borderId="13" xfId="20" applyFont="1" applyBorder="1" applyAlignment="1">
      <alignment wrapText="1"/>
    </xf>
    <xf numFmtId="0" fontId="10" fillId="0" borderId="13" xfId="20" applyFont="1" applyBorder="1"/>
    <xf numFmtId="0" fontId="4" fillId="13" borderId="22" xfId="20" applyFont="1" applyFill="1" applyBorder="1" applyAlignment="1">
      <alignment horizontal="left" wrapText="1"/>
    </xf>
    <xf numFmtId="0" fontId="4" fillId="13" borderId="19" xfId="20" applyFont="1" applyFill="1" applyBorder="1" applyAlignment="1">
      <alignment horizontal="left" wrapText="1"/>
    </xf>
    <xf numFmtId="0" fontId="2" fillId="9" borderId="19" xfId="20" applyFont="1" applyFill="1" applyBorder="1" applyAlignment="1">
      <alignment horizontal="left" wrapText="1"/>
    </xf>
    <xf numFmtId="0" fontId="68" fillId="7" borderId="19" xfId="20" applyFont="1" applyFill="1" applyBorder="1" applyAlignment="1">
      <alignment horizontal="left" vertical="top" wrapText="1"/>
    </xf>
    <xf numFmtId="0" fontId="4" fillId="0" borderId="30" xfId="20" applyFont="1" applyBorder="1" applyAlignment="1">
      <alignment horizontal="left"/>
    </xf>
    <xf numFmtId="0" fontId="2" fillId="9" borderId="19" xfId="20" applyFont="1" applyFill="1" applyBorder="1" applyAlignment="1">
      <alignment horizontal="left" vertical="top" wrapText="1"/>
    </xf>
    <xf numFmtId="0" fontId="69" fillId="7" borderId="19" xfId="20" applyFont="1" applyFill="1" applyBorder="1" applyAlignment="1">
      <alignment horizontal="left" wrapText="1"/>
    </xf>
    <xf numFmtId="14" fontId="11" fillId="0" borderId="0" xfId="0" applyNumberFormat="1" applyFont="1" applyBorder="1" applyAlignment="1">
      <alignment horizontal="center" vertical="center"/>
    </xf>
    <xf numFmtId="0" fontId="9" fillId="0" borderId="0" xfId="0" applyFont="1" applyBorder="1" applyAlignment="1">
      <alignment vertical="top" wrapText="1"/>
    </xf>
    <xf numFmtId="0" fontId="12" fillId="0" borderId="0" xfId="0" applyFont="1" applyBorder="1" applyAlignment="1">
      <alignment vertical="top"/>
    </xf>
    <xf numFmtId="0" fontId="9" fillId="0" borderId="0" xfId="0" applyFont="1" applyBorder="1" applyAlignment="1">
      <alignment vertical="top"/>
    </xf>
    <xf numFmtId="0" fontId="3" fillId="0" borderId="0" xfId="0" applyFont="1" applyFill="1" applyAlignment="1"/>
  </cellXfs>
  <cellStyles count="27">
    <cellStyle name="Beobachtung" xfId="6" xr:uid="{00000000-0005-0000-0000-000000000000}"/>
    <cellStyle name="Beobachtung (2)" xfId="16" xr:uid="{00000000-0005-0000-0000-000001000000}"/>
    <cellStyle name="Beobachtung (F:Category)" xfId="15" xr:uid="{00000000-0005-0000-0000-000002000000}"/>
    <cellStyle name="Beobachtung (F:YESNO)" xfId="19" xr:uid="{00000000-0005-0000-0000-000003000000}"/>
    <cellStyle name="Beobachtung (gesperrt)" xfId="7" xr:uid="{00000000-0005-0000-0000-000004000000}"/>
    <cellStyle name="Beobachtung (Total)" xfId="5" xr:uid="{00000000-0005-0000-0000-000005000000}"/>
    <cellStyle name="Beobachtung (Total) (2)" xfId="12" xr:uid="{00000000-0005-0000-0000-000006000000}"/>
    <cellStyle name="ColPos" xfId="2" xr:uid="{00000000-0005-0000-0000-000007000000}"/>
    <cellStyle name="EmptyField" xfId="8" xr:uid="{00000000-0005-0000-0000-000008000000}"/>
    <cellStyle name="Hyperlink" xfId="9" builtinId="8" customBuiltin="1"/>
    <cellStyle name="LinePos" xfId="4" xr:uid="{00000000-0005-0000-0000-00000A000000}"/>
    <cellStyle name="nicht erhoben (1)" xfId="17" xr:uid="{00000000-0005-0000-0000-00000B000000}"/>
    <cellStyle name="nicht erhoben (2)" xfId="18" xr:uid="{00000000-0005-0000-0000-00000C000000}"/>
    <cellStyle name="Normal" xfId="0" builtinId="0"/>
    <cellStyle name="Normal 2" xfId="22" xr:uid="{00000000-0005-0000-0000-00000E000000}"/>
    <cellStyle name="Normal 3" xfId="13" xr:uid="{00000000-0005-0000-0000-00000F000000}"/>
    <cellStyle name="Normal 4" xfId="25" xr:uid="{00000000-0005-0000-0000-000010000000}"/>
    <cellStyle name="Percent" xfId="26" builtinId="5"/>
    <cellStyle name="Percent 2" xfId="14" xr:uid="{00000000-0005-0000-0000-000012000000}"/>
    <cellStyle name="Standard 2" xfId="20" xr:uid="{00000000-0005-0000-0000-000013000000}"/>
    <cellStyle name="Standard 3" xfId="21" xr:uid="{00000000-0005-0000-0000-000014000000}"/>
    <cellStyle name="Titel" xfId="3" xr:uid="{00000000-0005-0000-0000-000015000000}"/>
    <cellStyle name="Titel 2" xfId="11" xr:uid="{00000000-0005-0000-0000-000016000000}"/>
    <cellStyle name="Titel 3" xfId="24" xr:uid="{00000000-0005-0000-0000-000017000000}"/>
    <cellStyle name="Title" xfId="23" builtinId="15" customBuiltin="1"/>
    <cellStyle name="Überschrift 5" xfId="10" xr:uid="{00000000-0005-0000-0000-000019000000}"/>
    <cellStyle name="ValMessage" xfId="1" xr:uid="{00000000-0005-0000-0000-00001A000000}"/>
  </cellStyles>
  <dxfs count="15">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
      <fill>
        <patternFill>
          <bgColor rgb="FFFFC000"/>
        </patternFill>
      </fill>
    </dxf>
  </dxfs>
  <tableStyles count="0" defaultTableStyle="TableStyleMedium2" defaultPivotStyle="PivotStyleLight16"/>
  <colors>
    <mruColors>
      <color rgb="FF99FF99"/>
      <color rgb="FFFFCC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46"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2.xml"/><Relationship Id="rId40" Type="http://schemas.openxmlformats.org/officeDocument/2006/relationships/sharedStrings" Target="sharedStrings.xml"/><Relationship Id="rId45"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ustomXml" Target="../customXml/item1.xml"/></Relationships>
</file>

<file path=xl/ctrlProps/ctrlProp1.xml><?xml version="1.0" encoding="utf-8"?>
<formControlPr xmlns="http://schemas.microsoft.com/office/spreadsheetml/2009/9/main" objectType="CheckBox" fmlaLink="#REF!" lockText="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11.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6.jpeg"/></Relationships>
</file>

<file path=xl/drawings/_rels/drawing13.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6.jpeg"/></Relationships>
</file>

<file path=xl/drawings/_rels/drawing14.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6.jpeg"/></Relationships>
</file>

<file path=xl/drawings/_rels/drawing15.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6.jpeg"/></Relationships>
</file>

<file path=xl/drawings/_rels/drawing16.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6.jpeg"/></Relationships>
</file>

<file path=xl/drawings/_rels/drawing17.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6.jpeg"/></Relationships>
</file>

<file path=xl/drawings/_rels/drawing18.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19.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20.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21.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2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2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2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2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27.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28.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8.jpeg"/></Relationships>
</file>

<file path=xl/drawings/_rels/drawing29.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0.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1.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2.xml.rels><?xml version="1.0" encoding="UTF-8" standalone="yes"?>
<Relationships xmlns="http://schemas.openxmlformats.org/package/2006/relationships"><Relationship Id="rId2" Type="http://schemas.openxmlformats.org/officeDocument/2006/relationships/image" Target="../media/image9.jpeg"/><Relationship Id="rId1" Type="http://schemas.openxmlformats.org/officeDocument/2006/relationships/image" Target="../media/image8.jpeg"/></Relationships>
</file>

<file path=xl/drawings/_rels/drawing3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9.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3</xdr:col>
      <xdr:colOff>57150</xdr:colOff>
      <xdr:row>0</xdr:row>
      <xdr:rowOff>142875</xdr:rowOff>
    </xdr:from>
    <xdr:to>
      <xdr:col>4</xdr:col>
      <xdr:colOff>561975</xdr:colOff>
      <xdr:row>2</xdr:row>
      <xdr:rowOff>285750</xdr:rowOff>
    </xdr:to>
    <xdr:pic>
      <xdr:nvPicPr>
        <xdr:cNvPr id="2" name="Grafik 8" descr="SNB_LOGO_46_RGB.jp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2124075" y="142875"/>
          <a:ext cx="157162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114300</xdr:colOff>
      <xdr:row>0</xdr:row>
      <xdr:rowOff>133350</xdr:rowOff>
    </xdr:from>
    <xdr:to>
      <xdr:col>2</xdr:col>
      <xdr:colOff>714375</xdr:colOff>
      <xdr:row>2</xdr:row>
      <xdr:rowOff>276225</xdr:rowOff>
    </xdr:to>
    <xdr:pic>
      <xdr:nvPicPr>
        <xdr:cNvPr id="3" name="Grafik 9" descr="B_Logo_FINMA_45mm_gray.jpg">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95300" y="133350"/>
          <a:ext cx="150495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6</xdr:col>
          <xdr:colOff>0</xdr:colOff>
          <xdr:row>20</xdr:row>
          <xdr:rowOff>180975</xdr:rowOff>
        </xdr:from>
        <xdr:to>
          <xdr:col>7</xdr:col>
          <xdr:colOff>0</xdr:colOff>
          <xdr:row>22</xdr:row>
          <xdr:rowOff>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1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oneCellAnchor>
    <xdr:from>
      <xdr:col>0</xdr:col>
      <xdr:colOff>122465</xdr:colOff>
      <xdr:row>0</xdr:row>
      <xdr:rowOff>108857</xdr:rowOff>
    </xdr:from>
    <xdr:ext cx="1560141" cy="635794"/>
    <xdr:pic>
      <xdr:nvPicPr>
        <xdr:cNvPr id="5" name="Grafik 9" descr="B_Logo_FINMA_45mm_gray.jpg">
          <a:extLst>
            <a:ext uri="{FF2B5EF4-FFF2-40B4-BE49-F238E27FC236}">
              <a16:creationId xmlns:a16="http://schemas.microsoft.com/office/drawing/2014/main" id="{00000000-0008-0000-0A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2465" y="108857"/>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1281793</xdr:colOff>
      <xdr:row>0</xdr:row>
      <xdr:rowOff>115661</xdr:rowOff>
    </xdr:from>
    <xdr:ext cx="1574006" cy="619125"/>
    <xdr:pic>
      <xdr:nvPicPr>
        <xdr:cNvPr id="6" name="Grafik 8" descr="SNB_LOGO_46_RGB.jpg">
          <a:extLst>
            <a:ext uri="{FF2B5EF4-FFF2-40B4-BE49-F238E27FC236}">
              <a16:creationId xmlns:a16="http://schemas.microsoft.com/office/drawing/2014/main" id="{00000000-0008-0000-0A00-00000600000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39686" y="115661"/>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1.xml><?xml version="1.0" encoding="utf-8"?>
<xdr:wsDr xmlns:xdr="http://schemas.openxmlformats.org/drawingml/2006/spreadsheetDrawing" xmlns:a="http://schemas.openxmlformats.org/drawingml/2006/main">
  <xdr:oneCellAnchor>
    <xdr:from>
      <xdr:col>0</xdr:col>
      <xdr:colOff>38100</xdr:colOff>
      <xdr:row>0</xdr:row>
      <xdr:rowOff>38100</xdr:rowOff>
    </xdr:from>
    <xdr:ext cx="1569244" cy="609600"/>
    <xdr:pic>
      <xdr:nvPicPr>
        <xdr:cNvPr id="2" name="Grafik 8" descr="SNB_LOGO_46_RGB.jp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38100" y="38100"/>
          <a:ext cx="1569244"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1238250</xdr:colOff>
      <xdr:row>0</xdr:row>
      <xdr:rowOff>38100</xdr:rowOff>
    </xdr:from>
    <xdr:ext cx="1514475" cy="609600"/>
    <xdr:pic>
      <xdr:nvPicPr>
        <xdr:cNvPr id="3" name="Grafik 9" descr="B_Logo_FINMA_45mm_gray.jpg">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0" y="38100"/>
          <a:ext cx="15144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2.xml><?xml version="1.0" encoding="utf-8"?>
<xdr:wsDr xmlns:xdr="http://schemas.openxmlformats.org/drawingml/2006/spreadsheetDrawing" xmlns:a="http://schemas.openxmlformats.org/drawingml/2006/main">
  <xdr:oneCellAnchor>
    <xdr:from>
      <xdr:col>0</xdr:col>
      <xdr:colOff>38100</xdr:colOff>
      <xdr:row>0</xdr:row>
      <xdr:rowOff>38100</xdr:rowOff>
    </xdr:from>
    <xdr:ext cx="1569244" cy="657225"/>
    <xdr:pic>
      <xdr:nvPicPr>
        <xdr:cNvPr id="2" name="Grafik 8" descr="SNB_LOGO_46_RGB.jpg">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38100" y="38100"/>
          <a:ext cx="1569244"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1238250</xdr:colOff>
      <xdr:row>0</xdr:row>
      <xdr:rowOff>38100</xdr:rowOff>
    </xdr:from>
    <xdr:ext cx="1514475" cy="657225"/>
    <xdr:pic>
      <xdr:nvPicPr>
        <xdr:cNvPr id="3" name="Grafik 9" descr="B_Logo_FINMA_45mm_gray.jpg">
          <a:extLst>
            <a:ext uri="{FF2B5EF4-FFF2-40B4-BE49-F238E27FC236}">
              <a16:creationId xmlns:a16="http://schemas.microsoft.com/office/drawing/2014/main" id="{00000000-0008-0000-0C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0" y="38100"/>
          <a:ext cx="151447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3.xml><?xml version="1.0" encoding="utf-8"?>
<xdr:wsDr xmlns:xdr="http://schemas.openxmlformats.org/drawingml/2006/spreadsheetDrawing" xmlns:a="http://schemas.openxmlformats.org/drawingml/2006/main">
  <xdr:oneCellAnchor>
    <xdr:from>
      <xdr:col>0</xdr:col>
      <xdr:colOff>38100</xdr:colOff>
      <xdr:row>0</xdr:row>
      <xdr:rowOff>38100</xdr:rowOff>
    </xdr:from>
    <xdr:ext cx="1569244" cy="657225"/>
    <xdr:pic>
      <xdr:nvPicPr>
        <xdr:cNvPr id="2" name="Grafik 8" descr="SNB_LOGO_46_RGB.jp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38100" y="38100"/>
          <a:ext cx="1569244"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1238250</xdr:colOff>
      <xdr:row>0</xdr:row>
      <xdr:rowOff>38100</xdr:rowOff>
    </xdr:from>
    <xdr:ext cx="1514475" cy="657225"/>
    <xdr:pic>
      <xdr:nvPicPr>
        <xdr:cNvPr id="3" name="Grafik 9" descr="B_Logo_FINMA_45mm_gray.jpg">
          <a:extLst>
            <a:ext uri="{FF2B5EF4-FFF2-40B4-BE49-F238E27FC236}">
              <a16:creationId xmlns:a16="http://schemas.microsoft.com/office/drawing/2014/main" id="{00000000-0008-0000-0D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0" y="38100"/>
          <a:ext cx="151447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4.xml><?xml version="1.0" encoding="utf-8"?>
<xdr:wsDr xmlns:xdr="http://schemas.openxmlformats.org/drawingml/2006/spreadsheetDrawing" xmlns:a="http://schemas.openxmlformats.org/drawingml/2006/main">
  <xdr:oneCellAnchor>
    <xdr:from>
      <xdr:col>0</xdr:col>
      <xdr:colOff>38100</xdr:colOff>
      <xdr:row>0</xdr:row>
      <xdr:rowOff>38100</xdr:rowOff>
    </xdr:from>
    <xdr:ext cx="1569244" cy="657225"/>
    <xdr:pic>
      <xdr:nvPicPr>
        <xdr:cNvPr id="2" name="Grafik 8" descr="SNB_LOGO_46_RGB.jpg">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38100" y="38100"/>
          <a:ext cx="1569244"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1238250</xdr:colOff>
      <xdr:row>0</xdr:row>
      <xdr:rowOff>38100</xdr:rowOff>
    </xdr:from>
    <xdr:ext cx="1514475" cy="657225"/>
    <xdr:pic>
      <xdr:nvPicPr>
        <xdr:cNvPr id="3" name="Grafik 9" descr="B_Logo_FINMA_45mm_gray.jpg">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0" y="38100"/>
          <a:ext cx="151447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5.xml><?xml version="1.0" encoding="utf-8"?>
<xdr:wsDr xmlns:xdr="http://schemas.openxmlformats.org/drawingml/2006/spreadsheetDrawing" xmlns:a="http://schemas.openxmlformats.org/drawingml/2006/main">
  <xdr:oneCellAnchor>
    <xdr:from>
      <xdr:col>0</xdr:col>
      <xdr:colOff>38100</xdr:colOff>
      <xdr:row>0</xdr:row>
      <xdr:rowOff>38100</xdr:rowOff>
    </xdr:from>
    <xdr:ext cx="1569244" cy="657225"/>
    <xdr:pic>
      <xdr:nvPicPr>
        <xdr:cNvPr id="2" name="Grafik 8" descr="SNB_LOGO_46_RGB.jpg">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38100" y="38100"/>
          <a:ext cx="1569244"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1238250</xdr:colOff>
      <xdr:row>0</xdr:row>
      <xdr:rowOff>38100</xdr:rowOff>
    </xdr:from>
    <xdr:ext cx="1514475" cy="657225"/>
    <xdr:pic>
      <xdr:nvPicPr>
        <xdr:cNvPr id="3" name="Grafik 9" descr="B_Logo_FINMA_45mm_gray.jpg">
          <a:extLst>
            <a:ext uri="{FF2B5EF4-FFF2-40B4-BE49-F238E27FC236}">
              <a16:creationId xmlns:a16="http://schemas.microsoft.com/office/drawing/2014/main" id="{00000000-0008-0000-0F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0" y="38100"/>
          <a:ext cx="151447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6.xml><?xml version="1.0" encoding="utf-8"?>
<xdr:wsDr xmlns:xdr="http://schemas.openxmlformats.org/drawingml/2006/spreadsheetDrawing" xmlns:a="http://schemas.openxmlformats.org/drawingml/2006/main">
  <xdr:oneCellAnchor>
    <xdr:from>
      <xdr:col>0</xdr:col>
      <xdr:colOff>38100</xdr:colOff>
      <xdr:row>0</xdr:row>
      <xdr:rowOff>38100</xdr:rowOff>
    </xdr:from>
    <xdr:ext cx="1569244" cy="657225"/>
    <xdr:pic>
      <xdr:nvPicPr>
        <xdr:cNvPr id="2" name="Grafik 8" descr="SNB_LOGO_46_RGB.jpg">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38100" y="38100"/>
          <a:ext cx="1569244"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1238250</xdr:colOff>
      <xdr:row>0</xdr:row>
      <xdr:rowOff>38100</xdr:rowOff>
    </xdr:from>
    <xdr:ext cx="1514475" cy="657225"/>
    <xdr:pic>
      <xdr:nvPicPr>
        <xdr:cNvPr id="3" name="Grafik 9" descr="B_Logo_FINMA_45mm_gray.jpg">
          <a:extLst>
            <a:ext uri="{FF2B5EF4-FFF2-40B4-BE49-F238E27FC236}">
              <a16:creationId xmlns:a16="http://schemas.microsoft.com/office/drawing/2014/main" id="{00000000-0008-0000-1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0" y="38100"/>
          <a:ext cx="151447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7.xml><?xml version="1.0" encoding="utf-8"?>
<xdr:wsDr xmlns:xdr="http://schemas.openxmlformats.org/drawingml/2006/spreadsheetDrawing" xmlns:a="http://schemas.openxmlformats.org/drawingml/2006/main">
  <xdr:oneCellAnchor>
    <xdr:from>
      <xdr:col>0</xdr:col>
      <xdr:colOff>38100</xdr:colOff>
      <xdr:row>0</xdr:row>
      <xdr:rowOff>38100</xdr:rowOff>
    </xdr:from>
    <xdr:ext cx="1569244" cy="657225"/>
    <xdr:pic>
      <xdr:nvPicPr>
        <xdr:cNvPr id="2" name="Grafik 8" descr="SNB_LOGO_46_RGB.jpg">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38100" y="38100"/>
          <a:ext cx="1569244"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1238250</xdr:colOff>
      <xdr:row>0</xdr:row>
      <xdr:rowOff>38100</xdr:rowOff>
    </xdr:from>
    <xdr:ext cx="1514475" cy="657225"/>
    <xdr:pic>
      <xdr:nvPicPr>
        <xdr:cNvPr id="3" name="Grafik 9" descr="B_Logo_FINMA_45mm_gray.jpg">
          <a:extLst>
            <a:ext uri="{FF2B5EF4-FFF2-40B4-BE49-F238E27FC236}">
              <a16:creationId xmlns:a16="http://schemas.microsoft.com/office/drawing/2014/main" id="{00000000-0008-0000-1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0" y="38100"/>
          <a:ext cx="151447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8.xml><?xml version="1.0" encoding="utf-8"?>
<xdr:wsDr xmlns:xdr="http://schemas.openxmlformats.org/drawingml/2006/spreadsheetDrawing" xmlns:a="http://schemas.openxmlformats.org/drawingml/2006/main">
  <xdr:oneCellAnchor>
    <xdr:from>
      <xdr:col>0</xdr:col>
      <xdr:colOff>163286</xdr:colOff>
      <xdr:row>0</xdr:row>
      <xdr:rowOff>163285</xdr:rowOff>
    </xdr:from>
    <xdr:ext cx="1560141" cy="635794"/>
    <xdr:pic>
      <xdr:nvPicPr>
        <xdr:cNvPr id="4" name="Grafik 9" descr="B_Logo_FINMA_45mm_gray.jpg">
          <a:extLst>
            <a:ext uri="{FF2B5EF4-FFF2-40B4-BE49-F238E27FC236}">
              <a16:creationId xmlns:a16="http://schemas.microsoft.com/office/drawing/2014/main" id="{00000000-0008-0000-1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286" y="163285"/>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1322614</xdr:colOff>
      <xdr:row>0</xdr:row>
      <xdr:rowOff>170089</xdr:rowOff>
    </xdr:from>
    <xdr:ext cx="1574006" cy="619125"/>
    <xdr:pic>
      <xdr:nvPicPr>
        <xdr:cNvPr id="5" name="Grafik 8" descr="SNB_LOGO_46_RGB.jpg">
          <a:extLst>
            <a:ext uri="{FF2B5EF4-FFF2-40B4-BE49-F238E27FC236}">
              <a16:creationId xmlns:a16="http://schemas.microsoft.com/office/drawing/2014/main" id="{00000000-0008-0000-1200-00000500000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80507" y="170089"/>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19.xml><?xml version="1.0" encoding="utf-8"?>
<xdr:wsDr xmlns:xdr="http://schemas.openxmlformats.org/drawingml/2006/spreadsheetDrawing" xmlns:a="http://schemas.openxmlformats.org/drawingml/2006/main">
  <xdr:oneCellAnchor>
    <xdr:from>
      <xdr:col>0</xdr:col>
      <xdr:colOff>133350</xdr:colOff>
      <xdr:row>0</xdr:row>
      <xdr:rowOff>152400</xdr:rowOff>
    </xdr:from>
    <xdr:ext cx="1560141" cy="635794"/>
    <xdr:pic>
      <xdr:nvPicPr>
        <xdr:cNvPr id="4" name="Grafik 9" descr="B_Logo_FINMA_45mm_gray.jpg">
          <a:extLst>
            <a:ext uri="{FF2B5EF4-FFF2-40B4-BE49-F238E27FC236}">
              <a16:creationId xmlns:a16="http://schemas.microsoft.com/office/drawing/2014/main" id="{00000000-0008-0000-1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3350" y="152400"/>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1279071</xdr:colOff>
      <xdr:row>0</xdr:row>
      <xdr:rowOff>159204</xdr:rowOff>
    </xdr:from>
    <xdr:ext cx="1574006" cy="619125"/>
    <xdr:pic>
      <xdr:nvPicPr>
        <xdr:cNvPr id="5" name="Grafik 8" descr="SNB_LOGO_46_RGB.jpg">
          <a:extLst>
            <a:ext uri="{FF2B5EF4-FFF2-40B4-BE49-F238E27FC236}">
              <a16:creationId xmlns:a16="http://schemas.microsoft.com/office/drawing/2014/main" id="{00000000-0008-0000-1300-00000500000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50571" y="159204"/>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161925</xdr:colOff>
      <xdr:row>0</xdr:row>
      <xdr:rowOff>95250</xdr:rowOff>
    </xdr:from>
    <xdr:ext cx="1560141" cy="635794"/>
    <xdr:pic>
      <xdr:nvPicPr>
        <xdr:cNvPr id="3" name="Grafik 9" descr="B_Logo_FINMA_45mm_gray.jpg">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95250"/>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1321254</xdr:colOff>
      <xdr:row>0</xdr:row>
      <xdr:rowOff>115661</xdr:rowOff>
    </xdr:from>
    <xdr:ext cx="1574006" cy="619125"/>
    <xdr:pic>
      <xdr:nvPicPr>
        <xdr:cNvPr id="4" name="Grafik 8" descr="SNB_LOGO_46_RGB.jpg">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79147" y="115661"/>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0.xml><?xml version="1.0" encoding="utf-8"?>
<xdr:wsDr xmlns:xdr="http://schemas.openxmlformats.org/drawingml/2006/spreadsheetDrawing" xmlns:a="http://schemas.openxmlformats.org/drawingml/2006/main">
  <xdr:oneCellAnchor>
    <xdr:from>
      <xdr:col>0</xdr:col>
      <xdr:colOff>209550</xdr:colOff>
      <xdr:row>0</xdr:row>
      <xdr:rowOff>152400</xdr:rowOff>
    </xdr:from>
    <xdr:ext cx="1560141" cy="635794"/>
    <xdr:pic>
      <xdr:nvPicPr>
        <xdr:cNvPr id="4" name="Grafik 9" descr="B_Logo_FINMA_45mm_gray.jpg">
          <a:extLst>
            <a:ext uri="{FF2B5EF4-FFF2-40B4-BE49-F238E27FC236}">
              <a16:creationId xmlns:a16="http://schemas.microsoft.com/office/drawing/2014/main" id="{00000000-0008-0000-14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50" y="152400"/>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1355271</xdr:colOff>
      <xdr:row>0</xdr:row>
      <xdr:rowOff>159204</xdr:rowOff>
    </xdr:from>
    <xdr:ext cx="1574006" cy="619125"/>
    <xdr:pic>
      <xdr:nvPicPr>
        <xdr:cNvPr id="5" name="Grafik 8" descr="SNB_LOGO_46_RGB.jpg">
          <a:extLst>
            <a:ext uri="{FF2B5EF4-FFF2-40B4-BE49-F238E27FC236}">
              <a16:creationId xmlns:a16="http://schemas.microsoft.com/office/drawing/2014/main" id="{00000000-0008-0000-1400-00000500000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926771" y="159204"/>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1.xml><?xml version="1.0" encoding="utf-8"?>
<xdr:wsDr xmlns:xdr="http://schemas.openxmlformats.org/drawingml/2006/spreadsheetDrawing" xmlns:a="http://schemas.openxmlformats.org/drawingml/2006/main">
  <xdr:oneCellAnchor>
    <xdr:from>
      <xdr:col>0</xdr:col>
      <xdr:colOff>163286</xdr:colOff>
      <xdr:row>0</xdr:row>
      <xdr:rowOff>176893</xdr:rowOff>
    </xdr:from>
    <xdr:ext cx="1560141" cy="635794"/>
    <xdr:pic>
      <xdr:nvPicPr>
        <xdr:cNvPr id="5" name="Grafik 9" descr="B_Logo_FINMA_45mm_gray.jpg">
          <a:extLst>
            <a:ext uri="{FF2B5EF4-FFF2-40B4-BE49-F238E27FC236}">
              <a16:creationId xmlns:a16="http://schemas.microsoft.com/office/drawing/2014/main" id="{00000000-0008-0000-15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286" y="176893"/>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1322614</xdr:colOff>
      <xdr:row>0</xdr:row>
      <xdr:rowOff>183697</xdr:rowOff>
    </xdr:from>
    <xdr:ext cx="1574006" cy="619125"/>
    <xdr:pic>
      <xdr:nvPicPr>
        <xdr:cNvPr id="6" name="Grafik 8" descr="SNB_LOGO_46_RGB.jpg">
          <a:extLst>
            <a:ext uri="{FF2B5EF4-FFF2-40B4-BE49-F238E27FC236}">
              <a16:creationId xmlns:a16="http://schemas.microsoft.com/office/drawing/2014/main" id="{00000000-0008-0000-1500-00000600000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80507" y="183697"/>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2.xml><?xml version="1.0" encoding="utf-8"?>
<xdr:wsDr xmlns:xdr="http://schemas.openxmlformats.org/drawingml/2006/spreadsheetDrawing" xmlns:a="http://schemas.openxmlformats.org/drawingml/2006/main">
  <xdr:oneCellAnchor>
    <xdr:from>
      <xdr:col>0</xdr:col>
      <xdr:colOff>136071</xdr:colOff>
      <xdr:row>0</xdr:row>
      <xdr:rowOff>122464</xdr:rowOff>
    </xdr:from>
    <xdr:ext cx="1560141" cy="635794"/>
    <xdr:pic>
      <xdr:nvPicPr>
        <xdr:cNvPr id="4" name="Grafik 9" descr="B_Logo_FINMA_45mm_gray.jpg">
          <a:extLst>
            <a:ext uri="{FF2B5EF4-FFF2-40B4-BE49-F238E27FC236}">
              <a16:creationId xmlns:a16="http://schemas.microsoft.com/office/drawing/2014/main" id="{00000000-0008-0000-1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6071" y="122464"/>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1458685</xdr:colOff>
      <xdr:row>0</xdr:row>
      <xdr:rowOff>129268</xdr:rowOff>
    </xdr:from>
    <xdr:ext cx="1574006" cy="619125"/>
    <xdr:pic>
      <xdr:nvPicPr>
        <xdr:cNvPr id="5" name="Grafik 8" descr="SNB_LOGO_46_RGB.jpg">
          <a:extLst>
            <a:ext uri="{FF2B5EF4-FFF2-40B4-BE49-F238E27FC236}">
              <a16:creationId xmlns:a16="http://schemas.microsoft.com/office/drawing/2014/main" id="{00000000-0008-0000-1600-00000500000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53292" y="129268"/>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3.xml><?xml version="1.0" encoding="utf-8"?>
<xdr:wsDr xmlns:xdr="http://schemas.openxmlformats.org/drawingml/2006/spreadsheetDrawing" xmlns:a="http://schemas.openxmlformats.org/drawingml/2006/main">
  <xdr:oneCellAnchor>
    <xdr:from>
      <xdr:col>0</xdr:col>
      <xdr:colOff>114300</xdr:colOff>
      <xdr:row>0</xdr:row>
      <xdr:rowOff>142875</xdr:rowOff>
    </xdr:from>
    <xdr:ext cx="1560141" cy="635794"/>
    <xdr:pic>
      <xdr:nvPicPr>
        <xdr:cNvPr id="4" name="Grafik 9" descr="B_Logo_FINMA_45mm_gray.jpg">
          <a:extLst>
            <a:ext uri="{FF2B5EF4-FFF2-40B4-BE49-F238E27FC236}">
              <a16:creationId xmlns:a16="http://schemas.microsoft.com/office/drawing/2014/main" id="{00000000-0008-0000-1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142875"/>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1555296</xdr:colOff>
      <xdr:row>0</xdr:row>
      <xdr:rowOff>149679</xdr:rowOff>
    </xdr:from>
    <xdr:ext cx="1574006" cy="619125"/>
    <xdr:pic>
      <xdr:nvPicPr>
        <xdr:cNvPr id="5" name="Grafik 8" descr="SNB_LOGO_46_RGB.jpg">
          <a:extLst>
            <a:ext uri="{FF2B5EF4-FFF2-40B4-BE49-F238E27FC236}">
              <a16:creationId xmlns:a16="http://schemas.microsoft.com/office/drawing/2014/main" id="{00000000-0008-0000-1700-00000500000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31521" y="149679"/>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4.xml><?xml version="1.0" encoding="utf-8"?>
<xdr:wsDr xmlns:xdr="http://schemas.openxmlformats.org/drawingml/2006/spreadsheetDrawing" xmlns:a="http://schemas.openxmlformats.org/drawingml/2006/main">
  <xdr:oneCellAnchor>
    <xdr:from>
      <xdr:col>0</xdr:col>
      <xdr:colOff>171450</xdr:colOff>
      <xdr:row>0</xdr:row>
      <xdr:rowOff>152400</xdr:rowOff>
    </xdr:from>
    <xdr:ext cx="1560141" cy="635794"/>
    <xdr:pic>
      <xdr:nvPicPr>
        <xdr:cNvPr id="4" name="Grafik 9" descr="B_Logo_FINMA_45mm_gray.jpg">
          <a:extLst>
            <a:ext uri="{FF2B5EF4-FFF2-40B4-BE49-F238E27FC236}">
              <a16:creationId xmlns:a16="http://schemas.microsoft.com/office/drawing/2014/main" id="{00000000-0008-0000-18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52400"/>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1107621</xdr:colOff>
      <xdr:row>0</xdr:row>
      <xdr:rowOff>159204</xdr:rowOff>
    </xdr:from>
    <xdr:ext cx="1574006" cy="619125"/>
    <xdr:pic>
      <xdr:nvPicPr>
        <xdr:cNvPr id="5" name="Grafik 8" descr="SNB_LOGO_46_RGB.jpg">
          <a:extLst>
            <a:ext uri="{FF2B5EF4-FFF2-40B4-BE49-F238E27FC236}">
              <a16:creationId xmlns:a16="http://schemas.microsoft.com/office/drawing/2014/main" id="{00000000-0008-0000-1800-00000500000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88671" y="159204"/>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5.xml><?xml version="1.0" encoding="utf-8"?>
<xdr:wsDr xmlns:xdr="http://schemas.openxmlformats.org/drawingml/2006/spreadsheetDrawing" xmlns:a="http://schemas.openxmlformats.org/drawingml/2006/main">
  <xdr:oneCellAnchor>
    <xdr:from>
      <xdr:col>0</xdr:col>
      <xdr:colOff>142875</xdr:colOff>
      <xdr:row>0</xdr:row>
      <xdr:rowOff>142875</xdr:rowOff>
    </xdr:from>
    <xdr:ext cx="1560141" cy="635794"/>
    <xdr:pic>
      <xdr:nvPicPr>
        <xdr:cNvPr id="5" name="Grafik 9" descr="B_Logo_FINMA_45mm_gray.jpg">
          <a:extLst>
            <a:ext uri="{FF2B5EF4-FFF2-40B4-BE49-F238E27FC236}">
              <a16:creationId xmlns:a16="http://schemas.microsoft.com/office/drawing/2014/main" id="{00000000-0008-0000-19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142875"/>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1455283</xdr:colOff>
      <xdr:row>0</xdr:row>
      <xdr:rowOff>149679</xdr:rowOff>
    </xdr:from>
    <xdr:ext cx="1574006" cy="619125"/>
    <xdr:pic>
      <xdr:nvPicPr>
        <xdr:cNvPr id="6" name="Grafik 8" descr="SNB_LOGO_46_RGB.jpg">
          <a:extLst>
            <a:ext uri="{FF2B5EF4-FFF2-40B4-BE49-F238E27FC236}">
              <a16:creationId xmlns:a16="http://schemas.microsoft.com/office/drawing/2014/main" id="{00000000-0008-0000-1900-00000600000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60096" y="149679"/>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6.xml><?xml version="1.0" encoding="utf-8"?>
<xdr:wsDr xmlns:xdr="http://schemas.openxmlformats.org/drawingml/2006/spreadsheetDrawing" xmlns:a="http://schemas.openxmlformats.org/drawingml/2006/main">
  <xdr:oneCellAnchor>
    <xdr:from>
      <xdr:col>0</xdr:col>
      <xdr:colOff>148166</xdr:colOff>
      <xdr:row>0</xdr:row>
      <xdr:rowOff>137583</xdr:rowOff>
    </xdr:from>
    <xdr:ext cx="1560141" cy="635794"/>
    <xdr:pic>
      <xdr:nvPicPr>
        <xdr:cNvPr id="4" name="Grafik 9" descr="B_Logo_FINMA_45mm_gray.jpg">
          <a:extLst>
            <a:ext uri="{FF2B5EF4-FFF2-40B4-BE49-F238E27FC236}">
              <a16:creationId xmlns:a16="http://schemas.microsoft.com/office/drawing/2014/main" id="{00000000-0008-0000-1A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8166" y="137583"/>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997554</xdr:colOff>
      <xdr:row>0</xdr:row>
      <xdr:rowOff>144387</xdr:rowOff>
    </xdr:from>
    <xdr:ext cx="1574006" cy="619125"/>
    <xdr:pic>
      <xdr:nvPicPr>
        <xdr:cNvPr id="5" name="Grafik 8" descr="SNB_LOGO_46_RGB.jpg">
          <a:extLst>
            <a:ext uri="{FF2B5EF4-FFF2-40B4-BE49-F238E27FC236}">
              <a16:creationId xmlns:a16="http://schemas.microsoft.com/office/drawing/2014/main" id="{00000000-0008-0000-1A00-00000500000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65387" y="144387"/>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7.xml><?xml version="1.0" encoding="utf-8"?>
<xdr:wsDr xmlns:xdr="http://schemas.openxmlformats.org/drawingml/2006/spreadsheetDrawing" xmlns:a="http://schemas.openxmlformats.org/drawingml/2006/main">
  <xdr:oneCellAnchor>
    <xdr:from>
      <xdr:col>0</xdr:col>
      <xdr:colOff>104775</xdr:colOff>
      <xdr:row>0</xdr:row>
      <xdr:rowOff>95250</xdr:rowOff>
    </xdr:from>
    <xdr:ext cx="1560141" cy="635794"/>
    <xdr:pic>
      <xdr:nvPicPr>
        <xdr:cNvPr id="7" name="Grafik 9" descr="B_Logo_FINMA_45mm_gray.jpg">
          <a:extLst>
            <a:ext uri="{FF2B5EF4-FFF2-40B4-BE49-F238E27FC236}">
              <a16:creationId xmlns:a16="http://schemas.microsoft.com/office/drawing/2014/main" id="{00000000-0008-0000-1B00-00000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95250"/>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869496</xdr:colOff>
      <xdr:row>0</xdr:row>
      <xdr:rowOff>102054</xdr:rowOff>
    </xdr:from>
    <xdr:ext cx="1574006" cy="619125"/>
    <xdr:pic>
      <xdr:nvPicPr>
        <xdr:cNvPr id="8" name="Grafik 8" descr="SNB_LOGO_46_RGB.jpg">
          <a:extLst>
            <a:ext uri="{FF2B5EF4-FFF2-40B4-BE49-F238E27FC236}">
              <a16:creationId xmlns:a16="http://schemas.microsoft.com/office/drawing/2014/main" id="{00000000-0008-0000-1B00-00000800000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21996" y="102054"/>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8.xml><?xml version="1.0" encoding="utf-8"?>
<xdr:wsDr xmlns:xdr="http://schemas.openxmlformats.org/drawingml/2006/spreadsheetDrawing" xmlns:a="http://schemas.openxmlformats.org/drawingml/2006/main">
  <xdr:absoluteAnchor>
    <xdr:pos x="47625" y="47625"/>
    <xdr:ext cx="1566863" cy="619125"/>
    <xdr:pic>
      <xdr:nvPicPr>
        <xdr:cNvPr id="2" name="Grafik 8" descr="SNB_LOGO_46_RGB.jpg">
          <a:extLst>
            <a:ext uri="{FF2B5EF4-FFF2-40B4-BE49-F238E27FC236}">
              <a16:creationId xmlns:a16="http://schemas.microsoft.com/office/drawing/2014/main" id="{00000000-0008-0000-1C00-000002000000}"/>
            </a:ext>
          </a:extLst>
        </xdr:cNvPr>
        <xdr:cNvPicPr preferRelativeResize="0">
          <a:picLocks/>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47625" y="47625"/>
          <a:ext cx="1566863"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absoluteAnchor>
  <xdr:absoluteAnchor>
    <xdr:pos x="1804988" y="47625"/>
    <xdr:ext cx="1519237" cy="619125"/>
    <xdr:pic>
      <xdr:nvPicPr>
        <xdr:cNvPr id="3" name="Grafik 9" descr="B_Logo_FINMA_45mm_gray.jpg">
          <a:extLst>
            <a:ext uri="{FF2B5EF4-FFF2-40B4-BE49-F238E27FC236}">
              <a16:creationId xmlns:a16="http://schemas.microsoft.com/office/drawing/2014/main" id="{00000000-0008-0000-1C00-000003000000}"/>
            </a:ext>
          </a:extLst>
        </xdr:cNvPr>
        <xdr:cNvPicPr preferRelativeResize="0">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04988" y="47625"/>
          <a:ext cx="1519237"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absoluteAnchor>
</xdr:wsDr>
</file>

<file path=xl/drawings/drawing29.xml><?xml version="1.0" encoding="utf-8"?>
<xdr:wsDr xmlns:xdr="http://schemas.openxmlformats.org/drawingml/2006/spreadsheetDrawing" xmlns:a="http://schemas.openxmlformats.org/drawingml/2006/main">
  <xdr:oneCellAnchor>
    <xdr:from>
      <xdr:col>0</xdr:col>
      <xdr:colOff>166687</xdr:colOff>
      <xdr:row>0</xdr:row>
      <xdr:rowOff>130969</xdr:rowOff>
    </xdr:from>
    <xdr:ext cx="1560141" cy="635794"/>
    <xdr:pic>
      <xdr:nvPicPr>
        <xdr:cNvPr id="4" name="Grafik 9" descr="B_Logo_FINMA_45mm_gray.jpg">
          <a:extLst>
            <a:ext uri="{FF2B5EF4-FFF2-40B4-BE49-F238E27FC236}">
              <a16:creationId xmlns:a16="http://schemas.microsoft.com/office/drawing/2014/main" id="{00000000-0008-0000-1D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6687" y="130969"/>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919502</xdr:colOff>
      <xdr:row>0</xdr:row>
      <xdr:rowOff>137773</xdr:rowOff>
    </xdr:from>
    <xdr:ext cx="1574006" cy="619125"/>
    <xdr:pic>
      <xdr:nvPicPr>
        <xdr:cNvPr id="5" name="Grafik 8" descr="SNB_LOGO_46_RGB.jpg">
          <a:extLst>
            <a:ext uri="{FF2B5EF4-FFF2-40B4-BE49-F238E27FC236}">
              <a16:creationId xmlns:a16="http://schemas.microsoft.com/office/drawing/2014/main" id="{00000000-0008-0000-1D00-00000500000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83908" y="137773"/>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142875</xdr:colOff>
      <xdr:row>0</xdr:row>
      <xdr:rowOff>133350</xdr:rowOff>
    </xdr:from>
    <xdr:ext cx="1560141" cy="635794"/>
    <xdr:pic>
      <xdr:nvPicPr>
        <xdr:cNvPr id="4" name="Grafik 9" descr="B_Logo_FINMA_45mm_gray.jpg">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133350"/>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993321</xdr:colOff>
      <xdr:row>0</xdr:row>
      <xdr:rowOff>140154</xdr:rowOff>
    </xdr:from>
    <xdr:ext cx="1574006" cy="619125"/>
    <xdr:pic>
      <xdr:nvPicPr>
        <xdr:cNvPr id="5" name="Grafik 8" descr="SNB_LOGO_46_RGB.jpg">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60096" y="140154"/>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0.xml><?xml version="1.0" encoding="utf-8"?>
<xdr:wsDr xmlns:xdr="http://schemas.openxmlformats.org/drawingml/2006/spreadsheetDrawing" xmlns:a="http://schemas.openxmlformats.org/drawingml/2006/main">
  <xdr:oneCellAnchor>
    <xdr:from>
      <xdr:col>0</xdr:col>
      <xdr:colOff>161925</xdr:colOff>
      <xdr:row>0</xdr:row>
      <xdr:rowOff>142875</xdr:rowOff>
    </xdr:from>
    <xdr:ext cx="1560141" cy="635794"/>
    <xdr:pic>
      <xdr:nvPicPr>
        <xdr:cNvPr id="4" name="Grafik 9" descr="B_Logo_FINMA_45mm_gray.jpg">
          <a:extLst>
            <a:ext uri="{FF2B5EF4-FFF2-40B4-BE49-F238E27FC236}">
              <a16:creationId xmlns:a16="http://schemas.microsoft.com/office/drawing/2014/main" id="{00000000-0008-0000-1E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142875"/>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1240971</xdr:colOff>
      <xdr:row>0</xdr:row>
      <xdr:rowOff>149679</xdr:rowOff>
    </xdr:from>
    <xdr:ext cx="1574006" cy="619125"/>
    <xdr:pic>
      <xdr:nvPicPr>
        <xdr:cNvPr id="5" name="Grafik 8" descr="SNB_LOGO_46_RGB.jpg">
          <a:extLst>
            <a:ext uri="{FF2B5EF4-FFF2-40B4-BE49-F238E27FC236}">
              <a16:creationId xmlns:a16="http://schemas.microsoft.com/office/drawing/2014/main" id="{00000000-0008-0000-1E00-00000500000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79146" y="149679"/>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1.xml><?xml version="1.0" encoding="utf-8"?>
<xdr:wsDr xmlns:xdr="http://schemas.openxmlformats.org/drawingml/2006/spreadsheetDrawing" xmlns:a="http://schemas.openxmlformats.org/drawingml/2006/main">
  <xdr:oneCellAnchor>
    <xdr:from>
      <xdr:col>0</xdr:col>
      <xdr:colOff>190500</xdr:colOff>
      <xdr:row>0</xdr:row>
      <xdr:rowOff>174625</xdr:rowOff>
    </xdr:from>
    <xdr:ext cx="1560141" cy="635794"/>
    <xdr:pic>
      <xdr:nvPicPr>
        <xdr:cNvPr id="4" name="Grafik 9" descr="B_Logo_FINMA_45mm_gray.jpg">
          <a:extLst>
            <a:ext uri="{FF2B5EF4-FFF2-40B4-BE49-F238E27FC236}">
              <a16:creationId xmlns:a16="http://schemas.microsoft.com/office/drawing/2014/main" id="{00000000-0008-0000-1F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 y="174625"/>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399596</xdr:colOff>
      <xdr:row>0</xdr:row>
      <xdr:rowOff>181429</xdr:rowOff>
    </xdr:from>
    <xdr:ext cx="1574006" cy="619125"/>
    <xdr:pic>
      <xdr:nvPicPr>
        <xdr:cNvPr id="5" name="Grafik 8" descr="SNB_LOGO_46_RGB.jpg">
          <a:extLst>
            <a:ext uri="{FF2B5EF4-FFF2-40B4-BE49-F238E27FC236}">
              <a16:creationId xmlns:a16="http://schemas.microsoft.com/office/drawing/2014/main" id="{00000000-0008-0000-1F00-00000500000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907721" y="181429"/>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2.xml><?xml version="1.0" encoding="utf-8"?>
<xdr:wsDr xmlns:xdr="http://schemas.openxmlformats.org/drawingml/2006/spreadsheetDrawing" xmlns:a="http://schemas.openxmlformats.org/drawingml/2006/main">
  <xdr:twoCellAnchor editAs="absolute">
    <xdr:from>
      <xdr:col>0</xdr:col>
      <xdr:colOff>47625</xdr:colOff>
      <xdr:row>0</xdr:row>
      <xdr:rowOff>47625</xdr:rowOff>
    </xdr:from>
    <xdr:to>
      <xdr:col>1</xdr:col>
      <xdr:colOff>1304925</xdr:colOff>
      <xdr:row>2</xdr:row>
      <xdr:rowOff>142875</xdr:rowOff>
    </xdr:to>
    <xdr:pic>
      <xdr:nvPicPr>
        <xdr:cNvPr id="2" name="Grafik 8" descr="SNB_LOGO_46_RGB.jpg">
          <a:extLst>
            <a:ext uri="{FF2B5EF4-FFF2-40B4-BE49-F238E27FC236}">
              <a16:creationId xmlns:a16="http://schemas.microsoft.com/office/drawing/2014/main" id="{00000000-0008-0000-2000-000002000000}"/>
            </a:ext>
          </a:extLst>
        </xdr:cNvPr>
        <xdr:cNvPicPr preferRelativeResize="0">
          <a:picLocks/>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47625" y="47625"/>
          <a:ext cx="1577340" cy="5981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1495425</xdr:colOff>
      <xdr:row>0</xdr:row>
      <xdr:rowOff>47625</xdr:rowOff>
    </xdr:from>
    <xdr:to>
      <xdr:col>1</xdr:col>
      <xdr:colOff>3009900</xdr:colOff>
      <xdr:row>2</xdr:row>
      <xdr:rowOff>142875</xdr:rowOff>
    </xdr:to>
    <xdr:pic>
      <xdr:nvPicPr>
        <xdr:cNvPr id="3" name="Grafik 9" descr="B_Logo_FINMA_45mm_gray.jpg">
          <a:extLst>
            <a:ext uri="{FF2B5EF4-FFF2-40B4-BE49-F238E27FC236}">
              <a16:creationId xmlns:a16="http://schemas.microsoft.com/office/drawing/2014/main" id="{00000000-0008-0000-2000-000003000000}"/>
            </a:ext>
          </a:extLst>
        </xdr:cNvPr>
        <xdr:cNvPicPr preferRelativeResize="0">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15465" y="47625"/>
          <a:ext cx="1514475" cy="5981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3.xml><?xml version="1.0" encoding="utf-8"?>
<xdr:wsDr xmlns:xdr="http://schemas.openxmlformats.org/drawingml/2006/spreadsheetDrawing" xmlns:a="http://schemas.openxmlformats.org/drawingml/2006/main">
  <xdr:oneCellAnchor>
    <xdr:from>
      <xdr:col>0</xdr:col>
      <xdr:colOff>123825</xdr:colOff>
      <xdr:row>0</xdr:row>
      <xdr:rowOff>133350</xdr:rowOff>
    </xdr:from>
    <xdr:ext cx="1560141" cy="635794"/>
    <xdr:pic>
      <xdr:nvPicPr>
        <xdr:cNvPr id="4" name="Grafik 9" descr="B_Logo_FINMA_45mm_gray.jpg">
          <a:extLst>
            <a:ext uri="{FF2B5EF4-FFF2-40B4-BE49-F238E27FC236}">
              <a16:creationId xmlns:a16="http://schemas.microsoft.com/office/drawing/2014/main" id="{00000000-0008-0000-2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133350"/>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1536246</xdr:colOff>
      <xdr:row>0</xdr:row>
      <xdr:rowOff>140154</xdr:rowOff>
    </xdr:from>
    <xdr:ext cx="1574006" cy="619125"/>
    <xdr:pic>
      <xdr:nvPicPr>
        <xdr:cNvPr id="5" name="Grafik 8" descr="SNB_LOGO_46_RGB.jpg">
          <a:extLst>
            <a:ext uri="{FF2B5EF4-FFF2-40B4-BE49-F238E27FC236}">
              <a16:creationId xmlns:a16="http://schemas.microsoft.com/office/drawing/2014/main" id="{00000000-0008-0000-2100-00000500000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41046" y="140154"/>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4.xml><?xml version="1.0" encoding="utf-8"?>
<xdr:wsDr xmlns:xdr="http://schemas.openxmlformats.org/drawingml/2006/spreadsheetDrawing" xmlns:a="http://schemas.openxmlformats.org/drawingml/2006/main">
  <xdr:oneCellAnchor>
    <xdr:from>
      <xdr:col>0</xdr:col>
      <xdr:colOff>171450</xdr:colOff>
      <xdr:row>0</xdr:row>
      <xdr:rowOff>142875</xdr:rowOff>
    </xdr:from>
    <xdr:ext cx="1560141" cy="635794"/>
    <xdr:pic>
      <xdr:nvPicPr>
        <xdr:cNvPr id="4" name="Grafik 9" descr="B_Logo_FINMA_45mm_gray.jpg">
          <a:extLst>
            <a:ext uri="{FF2B5EF4-FFF2-40B4-BE49-F238E27FC236}">
              <a16:creationId xmlns:a16="http://schemas.microsoft.com/office/drawing/2014/main" id="{00000000-0008-0000-2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50" y="142875"/>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1021896</xdr:colOff>
      <xdr:row>0</xdr:row>
      <xdr:rowOff>149679</xdr:rowOff>
    </xdr:from>
    <xdr:ext cx="1574006" cy="619125"/>
    <xdr:pic>
      <xdr:nvPicPr>
        <xdr:cNvPr id="5" name="Grafik 8" descr="SNB_LOGO_46_RGB.jpg">
          <a:extLst>
            <a:ext uri="{FF2B5EF4-FFF2-40B4-BE49-F238E27FC236}">
              <a16:creationId xmlns:a16="http://schemas.microsoft.com/office/drawing/2014/main" id="{00000000-0008-0000-2200-00000500000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88671" y="149679"/>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5.xml><?xml version="1.0" encoding="utf-8"?>
<xdr:wsDr xmlns:xdr="http://schemas.openxmlformats.org/drawingml/2006/spreadsheetDrawing" xmlns:a="http://schemas.openxmlformats.org/drawingml/2006/main">
  <xdr:oneCellAnchor>
    <xdr:from>
      <xdr:col>0</xdr:col>
      <xdr:colOff>204107</xdr:colOff>
      <xdr:row>0</xdr:row>
      <xdr:rowOff>163286</xdr:rowOff>
    </xdr:from>
    <xdr:ext cx="1560141" cy="635794"/>
    <xdr:pic>
      <xdr:nvPicPr>
        <xdr:cNvPr id="4" name="Grafik 9" descr="B_Logo_FINMA_45mm_gray.jpg">
          <a:extLst>
            <a:ext uri="{FF2B5EF4-FFF2-40B4-BE49-F238E27FC236}">
              <a16:creationId xmlns:a16="http://schemas.microsoft.com/office/drawing/2014/main" id="{00000000-0008-0000-2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4107" y="163286"/>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1050471</xdr:colOff>
      <xdr:row>0</xdr:row>
      <xdr:rowOff>170090</xdr:rowOff>
    </xdr:from>
    <xdr:ext cx="1574006" cy="619125"/>
    <xdr:pic>
      <xdr:nvPicPr>
        <xdr:cNvPr id="5" name="Grafik 8" descr="SNB_LOGO_46_RGB.jpg">
          <a:extLst>
            <a:ext uri="{FF2B5EF4-FFF2-40B4-BE49-F238E27FC236}">
              <a16:creationId xmlns:a16="http://schemas.microsoft.com/office/drawing/2014/main" id="{00000000-0008-0000-2300-00000500000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921328" y="170090"/>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66675</xdr:colOff>
      <xdr:row>0</xdr:row>
      <xdr:rowOff>66675</xdr:rowOff>
    </xdr:from>
    <xdr:ext cx="1574006" cy="619125"/>
    <xdr:pic>
      <xdr:nvPicPr>
        <xdr:cNvPr id="2" name="Grafik 8" descr="SNB_LOGO_46_RGB.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66675" y="66675"/>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962024</xdr:colOff>
      <xdr:row>0</xdr:row>
      <xdr:rowOff>66675</xdr:rowOff>
    </xdr:from>
    <xdr:ext cx="1560141" cy="635794"/>
    <xdr:pic>
      <xdr:nvPicPr>
        <xdr:cNvPr id="3" name="Grafik 9" descr="B_Logo_FINMA_45mm_gray.jpg">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53564" y="66675"/>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66675</xdr:colOff>
      <xdr:row>0</xdr:row>
      <xdr:rowOff>66675</xdr:rowOff>
    </xdr:from>
    <xdr:ext cx="1574006" cy="619125"/>
    <xdr:pic>
      <xdr:nvPicPr>
        <xdr:cNvPr id="2" name="Grafik 8" descr="SNB_LOGO_46_RGB.jp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66675" y="66675"/>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962024</xdr:colOff>
      <xdr:row>0</xdr:row>
      <xdr:rowOff>66675</xdr:rowOff>
    </xdr:from>
    <xdr:ext cx="1560141" cy="635794"/>
    <xdr:pic>
      <xdr:nvPicPr>
        <xdr:cNvPr id="3" name="Grafik 9" descr="B_Logo_FINMA_45mm_gray.jpg">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28799" y="66675"/>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166688</xdr:colOff>
      <xdr:row>0</xdr:row>
      <xdr:rowOff>130969</xdr:rowOff>
    </xdr:from>
    <xdr:ext cx="1560141" cy="635794"/>
    <xdr:pic>
      <xdr:nvPicPr>
        <xdr:cNvPr id="5" name="Grafik 9" descr="B_Logo_FINMA_45mm_gray.jpg">
          <a:extLst>
            <a:ext uri="{FF2B5EF4-FFF2-40B4-BE49-F238E27FC236}">
              <a16:creationId xmlns:a16="http://schemas.microsoft.com/office/drawing/2014/main" id="{00000000-0008-0000-06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6688" y="130969"/>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1014753</xdr:colOff>
      <xdr:row>0</xdr:row>
      <xdr:rowOff>137773</xdr:rowOff>
    </xdr:from>
    <xdr:ext cx="1574006" cy="619125"/>
    <xdr:pic>
      <xdr:nvPicPr>
        <xdr:cNvPr id="6" name="Grafik 8" descr="SNB_LOGO_46_RGB.jpg">
          <a:extLst>
            <a:ext uri="{FF2B5EF4-FFF2-40B4-BE49-F238E27FC236}">
              <a16:creationId xmlns:a16="http://schemas.microsoft.com/office/drawing/2014/main" id="{00000000-0008-0000-0600-00000600000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83909" y="137773"/>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176892</xdr:colOff>
      <xdr:row>0</xdr:row>
      <xdr:rowOff>136071</xdr:rowOff>
    </xdr:from>
    <xdr:ext cx="1560141" cy="635794"/>
    <xdr:pic>
      <xdr:nvPicPr>
        <xdr:cNvPr id="5" name="Grafik 9" descr="B_Logo_FINMA_45mm_gray.jpg">
          <a:extLst>
            <a:ext uri="{FF2B5EF4-FFF2-40B4-BE49-F238E27FC236}">
              <a16:creationId xmlns:a16="http://schemas.microsoft.com/office/drawing/2014/main" id="{00000000-0008-0000-07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6892" y="136071"/>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1023256</xdr:colOff>
      <xdr:row>0</xdr:row>
      <xdr:rowOff>142875</xdr:rowOff>
    </xdr:from>
    <xdr:ext cx="1574006" cy="619125"/>
    <xdr:pic>
      <xdr:nvPicPr>
        <xdr:cNvPr id="6" name="Grafik 8" descr="SNB_LOGO_46_RGB.jpg">
          <a:extLst>
            <a:ext uri="{FF2B5EF4-FFF2-40B4-BE49-F238E27FC236}">
              <a16:creationId xmlns:a16="http://schemas.microsoft.com/office/drawing/2014/main" id="{00000000-0008-0000-0700-00000600000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94113" y="142875"/>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8.xml><?xml version="1.0" encoding="utf-8"?>
<xdr:wsDr xmlns:xdr="http://schemas.openxmlformats.org/drawingml/2006/spreadsheetDrawing" xmlns:a="http://schemas.openxmlformats.org/drawingml/2006/main">
  <xdr:oneCellAnchor>
    <xdr:from>
      <xdr:col>0</xdr:col>
      <xdr:colOff>166688</xdr:colOff>
      <xdr:row>0</xdr:row>
      <xdr:rowOff>142875</xdr:rowOff>
    </xdr:from>
    <xdr:ext cx="1560141" cy="635794"/>
    <xdr:pic>
      <xdr:nvPicPr>
        <xdr:cNvPr id="5" name="Grafik 9" descr="B_Logo_FINMA_45mm_gray.jpg">
          <a:extLst>
            <a:ext uri="{FF2B5EF4-FFF2-40B4-BE49-F238E27FC236}">
              <a16:creationId xmlns:a16="http://schemas.microsoft.com/office/drawing/2014/main" id="{00000000-0008-0000-08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6688" y="142875"/>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1014753</xdr:colOff>
      <xdr:row>0</xdr:row>
      <xdr:rowOff>149679</xdr:rowOff>
    </xdr:from>
    <xdr:ext cx="1574006" cy="619125"/>
    <xdr:pic>
      <xdr:nvPicPr>
        <xdr:cNvPr id="6" name="Grafik 8" descr="SNB_LOGO_46_RGB.jpg">
          <a:extLst>
            <a:ext uri="{FF2B5EF4-FFF2-40B4-BE49-F238E27FC236}">
              <a16:creationId xmlns:a16="http://schemas.microsoft.com/office/drawing/2014/main" id="{00000000-0008-0000-0800-000006000000}"/>
            </a:ext>
          </a:extLst>
        </xdr:cNvPr>
        <xdr:cNvPicPr>
          <a:picLocks noChangeAspect="1"/>
        </xdr:cNvPicPr>
      </xdr:nvPicPr>
      <xdr:blipFill>
        <a:blip xmlns:r="http://schemas.openxmlformats.org/officeDocument/2006/relationships" r:embed="rId2" cstate="print">
          <a:grayscl/>
          <a:extLst>
            <a:ext uri="{28A0092B-C50C-407E-A947-70E740481C1C}">
              <a14:useLocalDpi xmlns:a14="http://schemas.microsoft.com/office/drawing/2010/main" val="0"/>
            </a:ext>
          </a:extLst>
        </a:blip>
        <a:srcRect/>
        <a:stretch>
          <a:fillRect/>
        </a:stretch>
      </xdr:blipFill>
      <xdr:spPr bwMode="auto">
        <a:xfrm>
          <a:off x="1883909" y="149679"/>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9.xml><?xml version="1.0" encoding="utf-8"?>
<xdr:wsDr xmlns:xdr="http://schemas.openxmlformats.org/drawingml/2006/spreadsheetDrawing" xmlns:a="http://schemas.openxmlformats.org/drawingml/2006/main">
  <xdr:oneCellAnchor>
    <xdr:from>
      <xdr:col>0</xdr:col>
      <xdr:colOff>66675</xdr:colOff>
      <xdr:row>0</xdr:row>
      <xdr:rowOff>66675</xdr:rowOff>
    </xdr:from>
    <xdr:ext cx="1574006" cy="619125"/>
    <xdr:pic>
      <xdr:nvPicPr>
        <xdr:cNvPr id="2" name="Grafik 8" descr="SNB_LOGO_46_RGB.jp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rcRect/>
        <a:stretch>
          <a:fillRect/>
        </a:stretch>
      </xdr:blipFill>
      <xdr:spPr bwMode="auto">
        <a:xfrm>
          <a:off x="66675" y="66675"/>
          <a:ext cx="1574006"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962024</xdr:colOff>
      <xdr:row>0</xdr:row>
      <xdr:rowOff>66675</xdr:rowOff>
    </xdr:from>
    <xdr:ext cx="1560141" cy="635794"/>
    <xdr:pic>
      <xdr:nvPicPr>
        <xdr:cNvPr id="3" name="Grafik 9" descr="B_Logo_FINMA_45mm_gray.jpg">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28799" y="66675"/>
          <a:ext cx="1560141" cy="6357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finma.ch/" TargetMode="Externa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P48"/>
  <sheetViews>
    <sheetView tabSelected="1" workbookViewId="0">
      <selection activeCell="J43" sqref="J43"/>
    </sheetView>
  </sheetViews>
  <sheetFormatPr defaultColWidth="11.42578125" defaultRowHeight="14.25" x14ac:dyDescent="0.2"/>
  <cols>
    <col min="1" max="1" width="5.5703125" style="106" customWidth="1"/>
    <col min="2" max="2" width="13.5703125" style="106" customWidth="1"/>
    <col min="3" max="3" width="11.5703125" style="106" customWidth="1"/>
    <col min="4" max="4" width="16" style="106" customWidth="1"/>
    <col min="5" max="5" width="13.42578125" style="106" customWidth="1"/>
    <col min="6" max="6" width="12" style="106" customWidth="1"/>
    <col min="7" max="7" width="12.42578125" style="106" customWidth="1"/>
    <col min="8" max="8" width="14.42578125" style="106" customWidth="1"/>
    <col min="9" max="9" width="8.42578125" style="106" customWidth="1"/>
    <col min="10" max="16384" width="11.42578125" style="106"/>
  </cols>
  <sheetData>
    <row r="1" spans="1:10" ht="27.6" customHeight="1" x14ac:dyDescent="0.2">
      <c r="B1" s="107"/>
      <c r="G1" s="108" t="s">
        <v>115</v>
      </c>
      <c r="H1" s="109" t="s">
        <v>116</v>
      </c>
    </row>
    <row r="2" spans="1:10" ht="18.75" customHeight="1" x14ac:dyDescent="0.2">
      <c r="B2" s="107"/>
      <c r="G2" s="108" t="s">
        <v>117</v>
      </c>
      <c r="H2" s="151" t="s">
        <v>118</v>
      </c>
    </row>
    <row r="3" spans="1:10" ht="26.25" customHeight="1" x14ac:dyDescent="0.2">
      <c r="B3"/>
      <c r="G3" s="108" t="s">
        <v>98</v>
      </c>
      <c r="H3" s="110" t="s">
        <v>119</v>
      </c>
      <c r="J3" s="111" t="s">
        <v>120</v>
      </c>
    </row>
    <row r="4" spans="1:10" ht="28.35" customHeight="1" x14ac:dyDescent="0.2">
      <c r="B4" s="112"/>
      <c r="G4" s="108" t="s">
        <v>96</v>
      </c>
      <c r="H4" s="113" t="s">
        <v>121</v>
      </c>
    </row>
    <row r="5" spans="1:10" ht="28.35" customHeight="1" x14ac:dyDescent="0.2">
      <c r="B5" s="106" t="s">
        <v>2250</v>
      </c>
      <c r="G5" s="108" t="s">
        <v>122</v>
      </c>
      <c r="H5" s="114"/>
    </row>
    <row r="6" spans="1:10" ht="33.75" customHeight="1" x14ac:dyDescent="0.25">
      <c r="B6" s="115" t="s">
        <v>2053</v>
      </c>
    </row>
    <row r="7" spans="1:10" ht="18" x14ac:dyDescent="0.25">
      <c r="B7" s="104" t="s">
        <v>99</v>
      </c>
    </row>
    <row r="8" spans="1:10" ht="22.5" customHeight="1" x14ac:dyDescent="0.25">
      <c r="B8" s="152" t="s">
        <v>118</v>
      </c>
      <c r="D8" s="116"/>
    </row>
    <row r="9" spans="1:10" x14ac:dyDescent="0.2">
      <c r="B9" t="s">
        <v>2249</v>
      </c>
      <c r="C9" s="117"/>
    </row>
    <row r="10" spans="1:10" ht="22.5" customHeight="1" x14ac:dyDescent="0.2">
      <c r="A10" s="118"/>
      <c r="B10" s="119"/>
      <c r="C10" s="119"/>
      <c r="D10" s="120" t="s">
        <v>123</v>
      </c>
      <c r="E10" s="121"/>
      <c r="F10" s="121"/>
      <c r="G10" s="121"/>
      <c r="H10" s="119"/>
    </row>
    <row r="11" spans="1:10" x14ac:dyDescent="0.2">
      <c r="A11" s="118"/>
      <c r="B11" s="122" t="s">
        <v>124</v>
      </c>
      <c r="C11" s="119"/>
      <c r="D11" s="1483"/>
      <c r="E11" s="1483"/>
      <c r="F11" s="1483"/>
      <c r="G11" s="1483"/>
      <c r="H11" s="119"/>
    </row>
    <row r="12" spans="1:10" x14ac:dyDescent="0.2">
      <c r="A12" s="118"/>
      <c r="B12" s="122" t="s">
        <v>125</v>
      </c>
      <c r="C12" s="119"/>
      <c r="D12" s="1483"/>
      <c r="E12" s="1483"/>
      <c r="F12" s="1483"/>
      <c r="G12" s="1483"/>
      <c r="H12" s="119"/>
    </row>
    <row r="13" spans="1:10" x14ac:dyDescent="0.2">
      <c r="A13" s="118"/>
      <c r="B13" s="122" t="s">
        <v>126</v>
      </c>
      <c r="C13" s="119"/>
      <c r="D13" s="1483"/>
      <c r="E13" s="1483"/>
      <c r="F13" s="1483"/>
      <c r="G13" s="1483"/>
      <c r="H13" s="119"/>
    </row>
    <row r="14" spans="1:10" x14ac:dyDescent="0.2">
      <c r="A14" s="118"/>
      <c r="B14" s="122" t="s">
        <v>127</v>
      </c>
      <c r="C14" s="119"/>
      <c r="D14" s="1483"/>
      <c r="E14" s="1483"/>
      <c r="F14" s="1483"/>
      <c r="G14" s="1483"/>
      <c r="H14" s="119"/>
    </row>
    <row r="15" spans="1:10" x14ac:dyDescent="0.2">
      <c r="A15" s="118"/>
      <c r="B15" s="122" t="s">
        <v>128</v>
      </c>
      <c r="C15" s="119"/>
      <c r="D15" s="1483"/>
      <c r="E15" s="1483"/>
      <c r="F15" s="1483"/>
      <c r="G15" s="1483"/>
      <c r="H15" s="119"/>
    </row>
    <row r="16" spans="1:10" x14ac:dyDescent="0.2">
      <c r="A16" s="118"/>
      <c r="B16" s="122" t="s">
        <v>129</v>
      </c>
      <c r="C16" s="119"/>
      <c r="D16" s="1483"/>
      <c r="E16" s="1483"/>
      <c r="F16" s="1483"/>
      <c r="G16" s="1483"/>
      <c r="H16" s="119"/>
    </row>
    <row r="17" spans="1:16" hidden="1" x14ac:dyDescent="0.2">
      <c r="A17" s="118"/>
      <c r="B17" s="122"/>
      <c r="C17" s="119"/>
      <c r="D17" s="1483"/>
      <c r="E17" s="1483"/>
      <c r="F17" s="1483"/>
      <c r="G17" s="1483"/>
      <c r="H17" s="119"/>
    </row>
    <row r="18" spans="1:16" x14ac:dyDescent="0.2">
      <c r="A18" s="118"/>
      <c r="B18" s="122" t="s">
        <v>130</v>
      </c>
      <c r="C18" s="119"/>
      <c r="D18" s="1483"/>
      <c r="E18" s="1483"/>
      <c r="F18" s="1483"/>
      <c r="G18" s="1483"/>
      <c r="H18" s="119"/>
    </row>
    <row r="19" spans="1:16" x14ac:dyDescent="0.2">
      <c r="A19" s="118"/>
      <c r="B19" s="122"/>
      <c r="C19" s="119"/>
      <c r="D19" s="123"/>
      <c r="E19" s="123"/>
      <c r="F19" s="123"/>
      <c r="G19" s="123"/>
      <c r="H19" s="119"/>
    </row>
    <row r="20" spans="1:16" x14ac:dyDescent="0.2">
      <c r="B20" s="124" t="s">
        <v>131</v>
      </c>
      <c r="C20" s="125"/>
      <c r="D20" s="126" t="s">
        <v>132</v>
      </c>
      <c r="E20" s="126" t="s">
        <v>133</v>
      </c>
      <c r="F20" s="125"/>
      <c r="G20" s="127" t="s">
        <v>134</v>
      </c>
      <c r="H20" s="125"/>
    </row>
    <row r="21" spans="1:16" x14ac:dyDescent="0.2">
      <c r="B21" s="128"/>
      <c r="C21" s="128"/>
      <c r="D21" s="128"/>
      <c r="E21" s="128"/>
      <c r="F21" s="128"/>
      <c r="G21" s="128"/>
      <c r="H21" s="128"/>
    </row>
    <row r="22" spans="1:16" x14ac:dyDescent="0.2">
      <c r="B22" s="129" t="s">
        <v>102</v>
      </c>
      <c r="C22" s="129"/>
      <c r="D22" s="130">
        <v>0</v>
      </c>
      <c r="E22" s="130"/>
      <c r="F22" s="130"/>
      <c r="G22" s="130"/>
      <c r="H22" s="131"/>
    </row>
    <row r="23" spans="1:16" x14ac:dyDescent="0.2">
      <c r="B23" s="129" t="s">
        <v>104</v>
      </c>
      <c r="C23" s="129"/>
      <c r="D23" s="130">
        <v>0</v>
      </c>
      <c r="E23" s="130"/>
      <c r="F23" s="130"/>
      <c r="G23" s="130"/>
      <c r="H23" s="131"/>
    </row>
    <row r="24" spans="1:16" x14ac:dyDescent="0.2">
      <c r="B24" s="129" t="s">
        <v>106</v>
      </c>
      <c r="C24" s="129"/>
      <c r="D24" s="130">
        <v>0</v>
      </c>
      <c r="E24" s="130"/>
      <c r="F24" s="130"/>
      <c r="G24" s="130"/>
      <c r="H24" s="131"/>
    </row>
    <row r="25" spans="1:16" x14ac:dyDescent="0.2">
      <c r="B25" s="129" t="s">
        <v>108</v>
      </c>
      <c r="C25" s="129"/>
      <c r="D25" s="130">
        <v>0</v>
      </c>
      <c r="E25" s="130"/>
      <c r="F25" s="130"/>
      <c r="G25" s="130"/>
      <c r="H25" s="131"/>
      <c r="J25" s="132"/>
      <c r="P25" s="133"/>
    </row>
    <row r="26" spans="1:16" x14ac:dyDescent="0.2">
      <c r="B26" s="129" t="s">
        <v>110</v>
      </c>
      <c r="C26" s="129"/>
      <c r="D26" s="130">
        <v>0</v>
      </c>
      <c r="E26" s="130"/>
      <c r="F26" s="130"/>
      <c r="G26" s="130"/>
      <c r="H26" s="131"/>
      <c r="J26" s="132"/>
      <c r="P26" s="133"/>
    </row>
    <row r="27" spans="1:16" x14ac:dyDescent="0.2">
      <c r="B27" s="129" t="s">
        <v>112</v>
      </c>
      <c r="C27" s="129"/>
      <c r="D27" s="130">
        <v>0</v>
      </c>
      <c r="E27" s="130"/>
      <c r="F27" s="130"/>
      <c r="G27" s="130"/>
      <c r="H27" s="131"/>
      <c r="J27" s="132"/>
      <c r="P27" s="133"/>
    </row>
    <row r="28" spans="1:16" x14ac:dyDescent="0.2">
      <c r="B28" s="129" t="s">
        <v>114</v>
      </c>
      <c r="C28" s="129"/>
      <c r="D28" s="130">
        <v>0</v>
      </c>
      <c r="E28" s="130"/>
      <c r="F28" s="129"/>
      <c r="G28" s="129"/>
      <c r="H28" s="131"/>
      <c r="J28" s="132"/>
      <c r="P28" s="133"/>
    </row>
    <row r="29" spans="1:16" ht="5.85" customHeight="1" x14ac:dyDescent="0.2">
      <c r="B29" s="129"/>
      <c r="C29" s="129"/>
      <c r="D29" s="130"/>
      <c r="E29" s="130"/>
      <c r="F29" s="129"/>
      <c r="G29" s="129"/>
      <c r="H29" s="131"/>
      <c r="J29" s="132"/>
      <c r="P29" s="133"/>
    </row>
    <row r="30" spans="1:16" x14ac:dyDescent="0.2">
      <c r="B30" s="134" t="str">
        <f>IF(D30&gt;0,"Data with errors","")</f>
        <v/>
      </c>
      <c r="C30" s="135"/>
      <c r="D30" s="136">
        <f>SUM(D22:D29)</f>
        <v>0</v>
      </c>
      <c r="E30" s="136">
        <f>SUM(E22:E28)</f>
        <v>0</v>
      </c>
      <c r="F30" s="135"/>
      <c r="G30" s="135"/>
      <c r="H30" s="137" t="str">
        <f>IF(COUNTIF(F22:F29,"!")&gt;0,"Data with warnings","")</f>
        <v/>
      </c>
    </row>
    <row r="31" spans="1:16" ht="35.25" customHeight="1" x14ac:dyDescent="0.2">
      <c r="B31" s="1" t="s">
        <v>135</v>
      </c>
      <c r="C31" s="107"/>
      <c r="D31" s="138"/>
      <c r="E31" s="107"/>
      <c r="F31" s="107"/>
      <c r="G31" s="107"/>
    </row>
    <row r="32" spans="1:16" x14ac:dyDescent="0.2">
      <c r="B32" s="1" t="s">
        <v>136</v>
      </c>
      <c r="C32" s="107"/>
      <c r="D32" s="107"/>
      <c r="E32" s="107"/>
      <c r="F32" s="107"/>
      <c r="G32" s="107"/>
    </row>
    <row r="33" spans="2:11" ht="26.25" customHeight="1" x14ac:dyDescent="0.2">
      <c r="B33" t="s">
        <v>2050</v>
      </c>
      <c r="C33" s="107"/>
      <c r="D33" s="107"/>
      <c r="G33" s="107"/>
      <c r="K33" s="139"/>
    </row>
    <row r="34" spans="2:11" x14ac:dyDescent="0.2">
      <c r="B34" t="s">
        <v>2051</v>
      </c>
    </row>
    <row r="35" spans="2:11" ht="26.25" customHeight="1" x14ac:dyDescent="0.2">
      <c r="B35" t="s">
        <v>137</v>
      </c>
    </row>
    <row r="36" spans="2:11" x14ac:dyDescent="0.2">
      <c r="B36" s="107" t="str">
        <f>"the following details: your code ("&amp;H3&amp;"), survey ("&amp;H1&amp;") and reporting date ("&amp;IF(ISTEXT(H4),H4,DAY(H4)&amp;"."&amp;MONTH(H4)&amp;"."&amp;YEAR(H4))&amp;")."</f>
        <v>the following details: your code (XXXXXX), survey (P_Basel3) and reporting date (DD.MM.YYYY).</v>
      </c>
    </row>
    <row r="37" spans="2:11" ht="18.75" customHeight="1" x14ac:dyDescent="0.2">
      <c r="B37" s="140"/>
      <c r="C37" s="141"/>
      <c r="D37" s="141"/>
      <c r="E37" s="141"/>
      <c r="F37" s="141"/>
      <c r="G37" s="141"/>
      <c r="H37" s="141"/>
    </row>
    <row r="38" spans="2:11" ht="26.25" customHeight="1" x14ac:dyDescent="0.2"/>
    <row r="39" spans="2:11" ht="18.75" customHeight="1" x14ac:dyDescent="0.2">
      <c r="B39" s="142" t="s">
        <v>146</v>
      </c>
      <c r="C39" s="149"/>
      <c r="D39" s="149"/>
      <c r="E39" s="149"/>
      <c r="F39" s="149"/>
      <c r="G39" s="149"/>
      <c r="H39" s="145" t="s">
        <v>147</v>
      </c>
    </row>
    <row r="40" spans="2:11" ht="18.75" customHeight="1" x14ac:dyDescent="0.2">
      <c r="B40" s="142" t="s">
        <v>148</v>
      </c>
      <c r="C40" s="149"/>
      <c r="D40" s="149"/>
      <c r="E40" s="149"/>
      <c r="F40" s="149"/>
      <c r="G40" s="149"/>
      <c r="H40" s="145" t="s">
        <v>149</v>
      </c>
      <c r="K40" s="107"/>
    </row>
    <row r="41" spans="2:11" ht="18.75" customHeight="1" x14ac:dyDescent="0.2">
      <c r="B41" s="142" t="s">
        <v>150</v>
      </c>
      <c r="C41" s="149"/>
      <c r="D41" s="149"/>
      <c r="E41" s="143"/>
      <c r="F41" s="144" t="s">
        <v>139</v>
      </c>
      <c r="G41" s="149"/>
      <c r="H41" s="146" t="s">
        <v>2052</v>
      </c>
      <c r="K41" s="107"/>
    </row>
    <row r="42" spans="2:11" ht="18.75" customHeight="1" x14ac:dyDescent="0.2">
      <c r="B42" s="142" t="s">
        <v>151</v>
      </c>
      <c r="C42" s="149"/>
      <c r="D42" s="149"/>
      <c r="E42" s="143"/>
      <c r="F42" s="146" t="s">
        <v>141</v>
      </c>
      <c r="G42" s="149"/>
      <c r="H42" s="146" t="s">
        <v>2052</v>
      </c>
    </row>
    <row r="43" spans="2:11" ht="29.1" customHeight="1" x14ac:dyDescent="0.2">
      <c r="B43" s="150"/>
      <c r="F43" s="146" t="s">
        <v>143</v>
      </c>
      <c r="G43" s="143"/>
      <c r="H43" s="146" t="str">
        <f>H3&amp;" "&amp;""&amp;H1&amp;" "&amp;IF(ISTEXT(H4),H4,DAY(H4)&amp;"."&amp;MONTH(H4)&amp;"."&amp;YEAR(H4))</f>
        <v>XXXXXX P_Basel3 DD.MM.YYYY</v>
      </c>
    </row>
    <row r="44" spans="2:11" ht="18.75" customHeight="1" x14ac:dyDescent="0.2">
      <c r="B44" s="142" t="s">
        <v>138</v>
      </c>
      <c r="C44" s="143"/>
      <c r="D44" s="143"/>
      <c r="G44" s="143"/>
      <c r="H44" s="145"/>
    </row>
    <row r="45" spans="2:11" ht="18.75" customHeight="1" x14ac:dyDescent="0.2">
      <c r="B45" s="142" t="s">
        <v>140</v>
      </c>
      <c r="C45" s="143"/>
      <c r="D45" s="143"/>
      <c r="G45" s="143"/>
      <c r="H45" s="147"/>
    </row>
    <row r="46" spans="2:11" ht="18.75" customHeight="1" x14ac:dyDescent="0.2">
      <c r="B46" s="142" t="s">
        <v>142</v>
      </c>
      <c r="C46" s="143"/>
      <c r="D46" s="143"/>
      <c r="E46" s="143"/>
    </row>
    <row r="47" spans="2:11" ht="16.5" customHeight="1" x14ac:dyDescent="0.2">
      <c r="B47" s="142" t="s">
        <v>144</v>
      </c>
      <c r="C47" s="143"/>
      <c r="D47" s="143"/>
      <c r="E47" s="143"/>
    </row>
    <row r="48" spans="2:11" x14ac:dyDescent="0.2">
      <c r="B48" s="142" t="s">
        <v>145</v>
      </c>
      <c r="C48" s="143"/>
      <c r="D48" s="143"/>
      <c r="E48" s="143"/>
      <c r="H48" s="148"/>
    </row>
  </sheetData>
  <mergeCells count="8">
    <mergeCell ref="D17:G17"/>
    <mergeCell ref="D18:G18"/>
    <mergeCell ref="D11:G11"/>
    <mergeCell ref="D12:G12"/>
    <mergeCell ref="D13:G13"/>
    <mergeCell ref="D14:G14"/>
    <mergeCell ref="D15:G15"/>
    <mergeCell ref="D16:G16"/>
  </mergeCells>
  <conditionalFormatting sqref="B20:H20">
    <cfRule type="expression" dxfId="14" priority="3" stopIfTrue="1">
      <formula>$D30&gt;0</formula>
    </cfRule>
  </conditionalFormatting>
  <conditionalFormatting sqref="D30:E30">
    <cfRule type="cellIs" dxfId="13" priority="2" stopIfTrue="1" operator="greaterThan">
      <formula>0</formula>
    </cfRule>
  </conditionalFormatting>
  <dataValidations count="1">
    <dataValidation type="list" allowBlank="1" showInputMessage="1" showErrorMessage="1" sqref="H5" xr:uid="{00000000-0002-0000-0100-000000000000}">
      <formula1>"Correction,Test"</formula1>
    </dataValidation>
  </dataValidations>
  <hyperlinks>
    <hyperlink ref="H39" r:id="rId1" xr:uid="{F72CF065-616F-47D9-AA24-35831C1C7767}"/>
  </hyperlinks>
  <pageMargins left="0.59055118110236227" right="0.39370078740157483" top="0.78740157480314965" bottom="0.78740157480314965" header="0.31496062992125984" footer="0.31496062992125984"/>
  <pageSetup paperSize="9" scale="80" orientation="portrait" r:id="rId2"/>
  <headerFooter>
    <oddFooter>&amp;L&amp;D - &amp;T</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8193" r:id="rId5" name="Check Box 1">
              <controlPr defaultSize="0" autoFill="0" autoLine="0" autoPict="0">
                <anchor moveWithCells="1">
                  <from>
                    <xdr:col>6</xdr:col>
                    <xdr:colOff>0</xdr:colOff>
                    <xdr:row>20</xdr:row>
                    <xdr:rowOff>180975</xdr:rowOff>
                  </from>
                  <to>
                    <xdr:col>7</xdr:col>
                    <xdr:colOff>0</xdr:colOff>
                    <xdr:row>22</xdr:row>
                    <xdr:rowOff>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tabColor rgb="FF00B0F0"/>
  </sheetPr>
  <dimension ref="A1:AT78"/>
  <sheetViews>
    <sheetView zoomScale="85" zoomScaleNormal="85" workbookViewId="0">
      <pane xSplit="3" ySplit="13" topLeftCell="D14" activePane="bottomRight" state="frozen"/>
      <selection activeCell="B38" sqref="B38"/>
      <selection pane="topRight" activeCell="B38" sqref="B38"/>
      <selection pane="bottomLeft" activeCell="B38" sqref="B38"/>
      <selection pane="bottomRight" activeCell="A48" sqref="A48"/>
    </sheetView>
  </sheetViews>
  <sheetFormatPr defaultColWidth="11.42578125" defaultRowHeight="12.75" x14ac:dyDescent="0.2"/>
  <cols>
    <col min="1" max="1" width="8.42578125" style="870" customWidth="1"/>
    <col min="2" max="2" width="39.42578125" style="563" customWidth="1"/>
    <col min="3" max="3" width="4.5703125" style="332" customWidth="1"/>
    <col min="4" max="7" width="20.42578125" style="332" customWidth="1"/>
    <col min="8" max="9" width="15.5703125" style="332" customWidth="1"/>
    <col min="10" max="11" width="16.42578125" style="332" customWidth="1"/>
    <col min="12" max="12" width="15.5703125" style="332" customWidth="1"/>
    <col min="13" max="13" width="17.5703125" style="332" customWidth="1"/>
    <col min="14" max="14" width="20.42578125" style="332" customWidth="1"/>
    <col min="15" max="15" width="24.5703125" style="332" customWidth="1"/>
    <col min="16" max="20" width="17.5703125" style="332" customWidth="1"/>
    <col min="21" max="27" width="20.42578125" style="332" customWidth="1"/>
    <col min="28" max="28" width="24.5703125" style="332" customWidth="1"/>
    <col min="29" max="29" width="4.5703125" style="332" customWidth="1"/>
    <col min="30" max="32" width="11.42578125" style="332" customWidth="1"/>
    <col min="33" max="33" width="15.42578125" style="332" bestFit="1" customWidth="1"/>
    <col min="34" max="35" width="14.5703125" style="332" bestFit="1" customWidth="1"/>
    <col min="36" max="36" width="10.5703125" style="332" bestFit="1" customWidth="1"/>
    <col min="37" max="37" width="15.42578125" style="332" bestFit="1" customWidth="1"/>
    <col min="38" max="40" width="33.5703125" style="332" customWidth="1"/>
    <col min="41" max="41" width="21.5703125" style="975" customWidth="1"/>
    <col min="42" max="45" width="11.42578125" style="975" customWidth="1"/>
    <col min="46" max="46" width="21.5703125" style="975" customWidth="1"/>
    <col min="47" max="47" width="11.42578125" style="332" customWidth="1"/>
    <col min="48" max="16384" width="11.42578125" style="332"/>
  </cols>
  <sheetData>
    <row r="1" spans="1:46" ht="18" x14ac:dyDescent="0.25">
      <c r="A1" s="251"/>
      <c r="B1" s="511"/>
      <c r="C1" s="9"/>
      <c r="E1" s="1168" t="s">
        <v>1953</v>
      </c>
      <c r="F1" s="544"/>
      <c r="G1" s="544"/>
      <c r="H1" s="1169"/>
      <c r="I1" s="618"/>
      <c r="J1" s="618"/>
      <c r="K1" s="618"/>
      <c r="L1" s="618"/>
      <c r="N1" s="1004" t="s">
        <v>100</v>
      </c>
      <c r="O1" s="1005" t="s">
        <v>2243</v>
      </c>
      <c r="P1" s="618"/>
      <c r="Q1" s="1168" t="s">
        <v>1953</v>
      </c>
      <c r="R1" s="544"/>
      <c r="S1" s="544"/>
      <c r="T1" s="1169"/>
      <c r="U1" s="618"/>
      <c r="V1" s="618"/>
      <c r="W1" s="618"/>
      <c r="AA1" s="1004" t="s">
        <v>100</v>
      </c>
      <c r="AB1" s="1005" t="str">
        <f>O1</f>
        <v>P_CRSABIS_(01-09)</v>
      </c>
      <c r="AC1" s="618"/>
      <c r="AE1" s="1"/>
      <c r="AF1" s="1"/>
      <c r="AG1" s="1"/>
      <c r="AH1" s="1"/>
      <c r="AI1" s="1"/>
      <c r="AJ1" s="1"/>
    </row>
    <row r="2" spans="1:46" ht="18" x14ac:dyDescent="0.25">
      <c r="A2" s="251"/>
      <c r="B2" s="515"/>
      <c r="C2" s="9"/>
      <c r="E2" s="1006" t="s">
        <v>99</v>
      </c>
      <c r="H2" s="618"/>
      <c r="I2" s="618"/>
      <c r="J2" s="618"/>
      <c r="K2" s="618"/>
      <c r="L2" s="972"/>
      <c r="N2" s="1004" t="s">
        <v>98</v>
      </c>
      <c r="O2" s="1007" t="s">
        <v>119</v>
      </c>
      <c r="P2" s="618"/>
      <c r="Q2" s="1006" t="s">
        <v>99</v>
      </c>
      <c r="R2" s="260"/>
      <c r="S2" s="618"/>
      <c r="T2" s="618"/>
      <c r="U2" s="618"/>
      <c r="V2" s="618"/>
      <c r="W2" s="618"/>
      <c r="AA2" s="1004" t="s">
        <v>98</v>
      </c>
      <c r="AB2" s="1007" t="str">
        <f>O2</f>
        <v>XXXXXX</v>
      </c>
      <c r="AC2" s="618"/>
      <c r="AE2" s="1"/>
      <c r="AF2" s="1"/>
      <c r="AG2" s="1"/>
      <c r="AH2" s="1"/>
      <c r="AI2" s="1"/>
      <c r="AJ2" s="1"/>
    </row>
    <row r="3" spans="1:46" ht="15.75" x14ac:dyDescent="0.25">
      <c r="A3" s="251"/>
      <c r="B3" s="515"/>
      <c r="C3" s="9"/>
      <c r="E3" s="644" t="s">
        <v>97</v>
      </c>
      <c r="H3" s="618"/>
      <c r="I3" s="618"/>
      <c r="L3" s="972"/>
      <c r="N3" s="1004" t="s">
        <v>96</v>
      </c>
      <c r="O3" s="1008" t="s">
        <v>121</v>
      </c>
      <c r="P3" s="618"/>
      <c r="Q3" s="644" t="s">
        <v>97</v>
      </c>
      <c r="R3" s="260"/>
      <c r="S3" s="618"/>
      <c r="T3" s="618"/>
      <c r="U3" s="618"/>
      <c r="V3" s="618"/>
      <c r="W3" s="618"/>
      <c r="AA3" s="1004" t="s">
        <v>96</v>
      </c>
      <c r="AB3" s="1008" t="str">
        <f>O3</f>
        <v>DD.MM.YYYY</v>
      </c>
      <c r="AC3" s="618"/>
      <c r="AE3" s="1"/>
      <c r="AF3" s="1"/>
      <c r="AG3" s="1"/>
      <c r="AH3" s="1"/>
      <c r="AI3" s="1"/>
      <c r="AJ3" s="1"/>
    </row>
    <row r="4" spans="1:46" ht="15" x14ac:dyDescent="0.25">
      <c r="A4" s="251"/>
      <c r="B4" s="515"/>
      <c r="C4" s="9"/>
      <c r="E4" s="1009" t="s">
        <v>2244</v>
      </c>
      <c r="J4" s="618"/>
      <c r="K4" s="618"/>
      <c r="L4" s="972"/>
      <c r="M4" s="246"/>
      <c r="O4" s="647"/>
      <c r="P4" s="618"/>
      <c r="Q4" s="1009" t="s">
        <v>2244</v>
      </c>
      <c r="R4" s="618"/>
      <c r="S4" s="618"/>
      <c r="T4" s="618"/>
      <c r="U4" s="618"/>
      <c r="V4" s="618"/>
      <c r="W4" s="618"/>
      <c r="AA4" s="618"/>
      <c r="AB4" s="618"/>
      <c r="AC4" s="618"/>
      <c r="AE4" s="1"/>
      <c r="AF4" s="1"/>
      <c r="AG4" s="1"/>
      <c r="AH4" s="1"/>
      <c r="AI4" s="1"/>
      <c r="AJ4" s="1"/>
    </row>
    <row r="5" spans="1:46" x14ac:dyDescent="0.2">
      <c r="A5" s="251"/>
      <c r="B5" s="515"/>
      <c r="C5" s="9"/>
      <c r="E5" s="332" t="s">
        <v>94</v>
      </c>
      <c r="F5" s="618"/>
      <c r="G5" s="618"/>
      <c r="H5" s="618"/>
      <c r="I5" s="618"/>
      <c r="J5" s="618"/>
      <c r="K5" s="618"/>
      <c r="L5" s="618"/>
      <c r="M5" s="618"/>
      <c r="N5" s="618"/>
      <c r="O5" s="618"/>
      <c r="P5" s="618"/>
      <c r="Q5" s="332" t="s">
        <v>94</v>
      </c>
      <c r="R5" s="618"/>
      <c r="S5" s="618"/>
      <c r="T5" s="618"/>
      <c r="U5" s="618"/>
      <c r="V5" s="618"/>
      <c r="W5" s="618"/>
      <c r="X5" s="618"/>
      <c r="Y5" s="618"/>
      <c r="Z5" s="618"/>
      <c r="AA5" s="618"/>
      <c r="AB5" s="618"/>
      <c r="AC5" s="618"/>
      <c r="AE5" s="1"/>
      <c r="AF5" s="1"/>
      <c r="AG5" s="1"/>
      <c r="AH5" s="1"/>
      <c r="AI5" s="1"/>
      <c r="AJ5" s="1"/>
    </row>
    <row r="6" spans="1:46" ht="14.25" x14ac:dyDescent="0.2">
      <c r="A6" s="251"/>
      <c r="B6" s="106" t="s">
        <v>2250</v>
      </c>
      <c r="C6" s="9"/>
      <c r="D6" s="260"/>
      <c r="AE6" s="1"/>
      <c r="AF6" s="1"/>
      <c r="AG6" s="1"/>
      <c r="AH6" s="1"/>
      <c r="AI6" s="1"/>
      <c r="AJ6" s="1"/>
    </row>
    <row r="7" spans="1:46" x14ac:dyDescent="0.2">
      <c r="A7" s="1475"/>
      <c r="B7" s="515"/>
      <c r="C7" s="12"/>
      <c r="D7" s="312"/>
      <c r="F7" s="618"/>
      <c r="G7" s="618"/>
      <c r="H7" s="618"/>
      <c r="I7" s="618"/>
      <c r="J7" s="618"/>
      <c r="K7" s="618"/>
      <c r="L7" s="618"/>
      <c r="M7" s="649"/>
      <c r="N7" s="618"/>
      <c r="O7" s="649"/>
      <c r="P7" s="618"/>
      <c r="R7" s="649"/>
      <c r="S7" s="618"/>
      <c r="T7" s="618"/>
      <c r="U7" s="618"/>
      <c r="V7" s="618"/>
      <c r="W7" s="618"/>
      <c r="X7" s="618"/>
      <c r="Y7" s="618"/>
      <c r="Z7" s="618"/>
      <c r="AA7" s="618"/>
      <c r="AB7" s="618"/>
      <c r="AC7" s="649"/>
      <c r="AE7" s="1"/>
      <c r="AF7" s="1"/>
      <c r="AG7" s="1"/>
      <c r="AH7" s="1"/>
      <c r="AI7" s="1"/>
      <c r="AJ7" s="1"/>
    </row>
    <row r="8" spans="1:46" ht="18" x14ac:dyDescent="0.25">
      <c r="A8" s="1476"/>
      <c r="B8" s="516"/>
      <c r="C8" s="88"/>
      <c r="D8" s="94" t="s">
        <v>93</v>
      </c>
      <c r="E8" s="94" t="s">
        <v>92</v>
      </c>
      <c r="F8" s="93" t="s">
        <v>90</v>
      </c>
      <c r="G8" s="580"/>
      <c r="H8" s="608"/>
      <c r="I8" s="581"/>
      <c r="J8" s="609"/>
      <c r="K8" s="581"/>
      <c r="L8" s="609"/>
      <c r="M8" s="610"/>
      <c r="N8" s="985"/>
      <c r="O8" s="80" t="s">
        <v>90</v>
      </c>
      <c r="P8" s="1673" t="s">
        <v>89</v>
      </c>
      <c r="Q8" s="1674"/>
      <c r="R8" s="1674"/>
      <c r="S8" s="1674"/>
      <c r="T8" s="1675"/>
      <c r="U8" s="90" t="s">
        <v>88</v>
      </c>
      <c r="V8" s="90" t="s">
        <v>87</v>
      </c>
      <c r="W8" s="90" t="s">
        <v>86</v>
      </c>
      <c r="X8" s="513"/>
      <c r="Y8" s="513"/>
      <c r="Z8" s="513"/>
      <c r="AA8" s="89" t="s">
        <v>85</v>
      </c>
      <c r="AB8" s="1668" t="s">
        <v>84</v>
      </c>
      <c r="AC8" s="88"/>
      <c r="AD8" s="1002"/>
      <c r="AE8" s="71"/>
      <c r="AF8" s="9"/>
      <c r="AG8" s="9"/>
      <c r="AH8" s="9"/>
      <c r="AI8" s="9"/>
      <c r="AJ8" s="9"/>
      <c r="AK8" s="260"/>
      <c r="AO8" s="974"/>
    </row>
    <row r="9" spans="1:46" ht="51" x14ac:dyDescent="0.25">
      <c r="A9" s="1477"/>
      <c r="B9" s="517"/>
      <c r="C9" s="62"/>
      <c r="D9" s="77" t="s">
        <v>83</v>
      </c>
      <c r="E9" s="77" t="s">
        <v>82</v>
      </c>
      <c r="F9" s="70" t="s">
        <v>80</v>
      </c>
      <c r="G9" s="582" t="s">
        <v>1950</v>
      </c>
      <c r="H9" s="598" t="s">
        <v>1951</v>
      </c>
      <c r="I9" s="583"/>
      <c r="J9" s="592"/>
      <c r="K9" s="583"/>
      <c r="L9" s="592"/>
      <c r="M9" s="607"/>
      <c r="N9" s="986" t="s">
        <v>1356</v>
      </c>
      <c r="O9" s="66" t="s">
        <v>80</v>
      </c>
      <c r="P9" s="1670" t="s">
        <v>1402</v>
      </c>
      <c r="Q9" s="1671"/>
      <c r="R9" s="1671"/>
      <c r="S9" s="1672"/>
      <c r="T9" s="980" t="s">
        <v>1764</v>
      </c>
      <c r="U9" s="63" t="s">
        <v>79</v>
      </c>
      <c r="V9" s="63" t="s">
        <v>78</v>
      </c>
      <c r="W9" s="63" t="s">
        <v>77</v>
      </c>
      <c r="X9" s="514"/>
      <c r="Y9" s="514"/>
      <c r="Z9" s="514"/>
      <c r="AA9" s="77" t="s">
        <v>76</v>
      </c>
      <c r="AB9" s="1669"/>
      <c r="AC9" s="62"/>
      <c r="AD9" s="1002"/>
      <c r="AE9" s="71"/>
      <c r="AF9" s="9"/>
      <c r="AG9" s="9"/>
      <c r="AH9" s="9"/>
      <c r="AI9" s="9"/>
      <c r="AJ9" s="9"/>
      <c r="AK9" s="260"/>
      <c r="AO9" s="974"/>
    </row>
    <row r="10" spans="1:46" ht="18" x14ac:dyDescent="0.25">
      <c r="A10" s="1477"/>
      <c r="B10" s="517"/>
      <c r="C10" s="62"/>
      <c r="D10" s="77" t="s">
        <v>75</v>
      </c>
      <c r="E10" s="77" t="s">
        <v>74</v>
      </c>
      <c r="F10" s="70" t="s">
        <v>73</v>
      </c>
      <c r="G10" s="582"/>
      <c r="H10" s="600" t="s">
        <v>1405</v>
      </c>
      <c r="I10" s="601"/>
      <c r="J10" s="601"/>
      <c r="K10" s="601"/>
      <c r="L10" s="601"/>
      <c r="M10" s="602"/>
      <c r="N10" s="986"/>
      <c r="O10" s="66" t="s">
        <v>72</v>
      </c>
      <c r="P10" s="81" t="s">
        <v>71</v>
      </c>
      <c r="Q10" s="80"/>
      <c r="R10" s="66" t="s">
        <v>70</v>
      </c>
      <c r="S10" s="596" t="s">
        <v>69</v>
      </c>
      <c r="T10" s="593"/>
      <c r="U10" s="63" t="s">
        <v>68</v>
      </c>
      <c r="V10" s="707" t="s">
        <v>1403</v>
      </c>
      <c r="W10" s="707" t="s">
        <v>1471</v>
      </c>
      <c r="X10" s="514"/>
      <c r="Y10" s="514"/>
      <c r="Z10" s="514"/>
      <c r="AA10" s="63"/>
      <c r="AB10" s="1669"/>
      <c r="AC10" s="62"/>
      <c r="AD10" s="1002"/>
      <c r="AE10" s="71"/>
      <c r="AF10" s="9"/>
      <c r="AG10" s="9"/>
      <c r="AH10" s="9"/>
      <c r="AI10" s="9"/>
      <c r="AJ10" s="9"/>
      <c r="AK10" s="260"/>
      <c r="AO10" s="974"/>
    </row>
    <row r="11" spans="1:46" ht="18" x14ac:dyDescent="0.25">
      <c r="A11" s="1477"/>
      <c r="B11" s="517"/>
      <c r="C11" s="62"/>
      <c r="D11" s="77"/>
      <c r="E11" s="77" t="s">
        <v>65</v>
      </c>
      <c r="F11" s="70" t="s">
        <v>64</v>
      </c>
      <c r="G11" s="582"/>
      <c r="H11" s="603" t="s">
        <v>1406</v>
      </c>
      <c r="I11" s="604"/>
      <c r="J11" s="605"/>
      <c r="K11" s="604"/>
      <c r="L11" s="604"/>
      <c r="M11" s="606"/>
      <c r="N11" s="986"/>
      <c r="O11" s="66" t="s">
        <v>63</v>
      </c>
      <c r="P11" s="76" t="s">
        <v>62</v>
      </c>
      <c r="Q11" s="72"/>
      <c r="R11" s="72" t="s">
        <v>61</v>
      </c>
      <c r="S11" s="597" t="s">
        <v>60</v>
      </c>
      <c r="T11" s="594"/>
      <c r="U11" s="63" t="s">
        <v>59</v>
      </c>
      <c r="V11" s="63" t="s">
        <v>58</v>
      </c>
      <c r="W11" s="1"/>
      <c r="X11" s="514"/>
      <c r="Y11" s="514"/>
      <c r="Z11" s="514"/>
      <c r="AA11" s="63"/>
      <c r="AB11" s="1669"/>
      <c r="AC11" s="62"/>
      <c r="AD11" s="1002"/>
      <c r="AE11" s="71"/>
      <c r="AF11" s="9"/>
      <c r="AG11" s="9"/>
      <c r="AH11" s="9"/>
      <c r="AI11" s="9"/>
      <c r="AJ11" s="9"/>
      <c r="AK11" s="260"/>
      <c r="AO11" s="974"/>
    </row>
    <row r="12" spans="1:46" ht="63.75" x14ac:dyDescent="0.2">
      <c r="A12" s="251"/>
      <c r="B12" s="511"/>
      <c r="C12" s="62"/>
      <c r="D12" s="63"/>
      <c r="E12" s="63" t="s">
        <v>57</v>
      </c>
      <c r="F12" s="70" t="s">
        <v>56</v>
      </c>
      <c r="G12" s="599"/>
      <c r="H12" s="584" t="s">
        <v>34</v>
      </c>
      <c r="I12" s="585">
        <v>0.1</v>
      </c>
      <c r="J12" s="586">
        <v>0.2</v>
      </c>
      <c r="K12" s="585">
        <v>0.4</v>
      </c>
      <c r="L12" s="587">
        <v>0.5</v>
      </c>
      <c r="M12" s="586">
        <v>1</v>
      </c>
      <c r="N12" s="987"/>
      <c r="O12" s="66" t="s">
        <v>55</v>
      </c>
      <c r="P12" s="67" t="s">
        <v>54</v>
      </c>
      <c r="Q12" s="67" t="s">
        <v>53</v>
      </c>
      <c r="R12" s="67" t="s">
        <v>52</v>
      </c>
      <c r="S12" s="706" t="s">
        <v>1469</v>
      </c>
      <c r="T12" s="706" t="s">
        <v>1400</v>
      </c>
      <c r="U12" s="707" t="s">
        <v>1470</v>
      </c>
      <c r="V12" s="707" t="s">
        <v>1401</v>
      </c>
      <c r="W12" s="63"/>
      <c r="X12" s="514" t="s">
        <v>1950</v>
      </c>
      <c r="Y12" s="514" t="s">
        <v>1952</v>
      </c>
      <c r="Z12" s="514" t="s">
        <v>1356</v>
      </c>
      <c r="AA12" s="63"/>
      <c r="AB12" s="1669"/>
      <c r="AC12" s="62"/>
      <c r="AD12" s="875"/>
      <c r="AE12" s="61"/>
      <c r="AF12" s="61"/>
      <c r="AG12" s="61"/>
      <c r="AH12" s="61"/>
      <c r="AI12" s="61"/>
      <c r="AJ12" s="61"/>
      <c r="AK12" s="875"/>
      <c r="AO12" s="1001"/>
    </row>
    <row r="13" spans="1:46" ht="36" customHeight="1" x14ac:dyDescent="0.2">
      <c r="A13" s="1478"/>
      <c r="B13" s="518"/>
      <c r="C13" s="58"/>
      <c r="D13" s="705" t="s">
        <v>22</v>
      </c>
      <c r="E13" s="705" t="s">
        <v>21</v>
      </c>
      <c r="F13" s="705" t="s">
        <v>20</v>
      </c>
      <c r="G13" s="705" t="s">
        <v>19</v>
      </c>
      <c r="H13" s="705" t="s">
        <v>18</v>
      </c>
      <c r="I13" s="705" t="s">
        <v>17</v>
      </c>
      <c r="J13" s="705" t="s">
        <v>16</v>
      </c>
      <c r="K13" s="705" t="s">
        <v>15</v>
      </c>
      <c r="L13" s="705" t="s">
        <v>14</v>
      </c>
      <c r="M13" s="705" t="s">
        <v>13</v>
      </c>
      <c r="N13" s="705" t="s">
        <v>12</v>
      </c>
      <c r="O13" s="984" t="s">
        <v>11</v>
      </c>
      <c r="P13" s="705" t="s">
        <v>10</v>
      </c>
      <c r="Q13" s="705" t="s">
        <v>9</v>
      </c>
      <c r="R13" s="705" t="s">
        <v>8</v>
      </c>
      <c r="S13" s="705" t="s">
        <v>7</v>
      </c>
      <c r="T13" s="705" t="s">
        <v>6</v>
      </c>
      <c r="U13" s="705" t="s">
        <v>5</v>
      </c>
      <c r="V13" s="705" t="s">
        <v>1420</v>
      </c>
      <c r="W13" s="705" t="s">
        <v>1421</v>
      </c>
      <c r="X13" s="705" t="s">
        <v>1422</v>
      </c>
      <c r="Y13" s="705" t="s">
        <v>1423</v>
      </c>
      <c r="Z13" s="705" t="s">
        <v>1424</v>
      </c>
      <c r="AA13" s="705" t="s">
        <v>1425</v>
      </c>
      <c r="AB13" s="588" t="s">
        <v>5</v>
      </c>
      <c r="AC13" s="58"/>
      <c r="AE13" s="9" t="s">
        <v>47</v>
      </c>
      <c r="AF13" s="9" t="s">
        <v>46</v>
      </c>
      <c r="AG13" s="931" t="s">
        <v>1749</v>
      </c>
      <c r="AH13" s="931" t="s">
        <v>1750</v>
      </c>
      <c r="AI13" s="931" t="s">
        <v>1751</v>
      </c>
      <c r="AJ13" s="228" t="s">
        <v>1752</v>
      </c>
      <c r="AK13" s="931" t="s">
        <v>1753</v>
      </c>
      <c r="AL13" s="595" t="s">
        <v>1793</v>
      </c>
      <c r="AM13" s="931" t="s">
        <v>1765</v>
      </c>
      <c r="AN13" s="931" t="s">
        <v>1766</v>
      </c>
      <c r="AO13" s="965" t="s">
        <v>45</v>
      </c>
      <c r="AP13" s="965" t="s">
        <v>44</v>
      </c>
      <c r="AQ13" s="965" t="s">
        <v>43</v>
      </c>
      <c r="AR13" s="965" t="s">
        <v>42</v>
      </c>
      <c r="AS13" s="965" t="s">
        <v>41</v>
      </c>
      <c r="AT13" s="965" t="s">
        <v>40</v>
      </c>
    </row>
    <row r="14" spans="1:46" ht="13.5" thickBot="1" x14ac:dyDescent="0.25">
      <c r="A14" s="1010">
        <v>1</v>
      </c>
      <c r="B14" s="519" t="s">
        <v>39</v>
      </c>
      <c r="C14" s="1021" t="s">
        <v>241</v>
      </c>
      <c r="D14" s="549">
        <f>D21+D53</f>
        <v>95460000</v>
      </c>
      <c r="E14" s="549">
        <f t="shared" ref="E14:AA14" si="0">E21+E53</f>
        <v>0</v>
      </c>
      <c r="F14" s="549">
        <f t="shared" si="0"/>
        <v>95460000</v>
      </c>
      <c r="G14" s="549">
        <f t="shared" si="0"/>
        <v>0</v>
      </c>
      <c r="H14" s="549">
        <f t="shared" si="0"/>
        <v>40000</v>
      </c>
      <c r="I14" s="549">
        <f t="shared" si="0"/>
        <v>0</v>
      </c>
      <c r="J14" s="549">
        <f t="shared" si="0"/>
        <v>0</v>
      </c>
      <c r="K14" s="549">
        <f t="shared" si="0"/>
        <v>0</v>
      </c>
      <c r="L14" s="549">
        <f t="shared" si="0"/>
        <v>0</v>
      </c>
      <c r="M14" s="549">
        <f t="shared" si="0"/>
        <v>0</v>
      </c>
      <c r="N14" s="549">
        <f t="shared" si="0"/>
        <v>0</v>
      </c>
      <c r="O14" s="549">
        <f t="shared" si="0"/>
        <v>95420000</v>
      </c>
      <c r="P14" s="549">
        <f t="shared" si="0"/>
        <v>0</v>
      </c>
      <c r="Q14" s="549">
        <f t="shared" si="0"/>
        <v>0</v>
      </c>
      <c r="R14" s="549">
        <f t="shared" si="0"/>
        <v>0</v>
      </c>
      <c r="S14" s="549">
        <f t="shared" si="0"/>
        <v>0</v>
      </c>
      <c r="T14" s="549">
        <f t="shared" si="0"/>
        <v>0</v>
      </c>
      <c r="U14" s="549">
        <f t="shared" si="0"/>
        <v>95420000</v>
      </c>
      <c r="V14" s="549">
        <f t="shared" si="0"/>
        <v>0</v>
      </c>
      <c r="W14" s="549">
        <f t="shared" si="0"/>
        <v>95420000</v>
      </c>
      <c r="X14" s="549">
        <f t="shared" si="0"/>
        <v>0</v>
      </c>
      <c r="Y14" s="549">
        <f t="shared" si="0"/>
        <v>0</v>
      </c>
      <c r="Z14" s="549">
        <f t="shared" si="0"/>
        <v>0</v>
      </c>
      <c r="AA14" s="549">
        <f t="shared" si="0"/>
        <v>0</v>
      </c>
      <c r="AB14" s="365">
        <f>AA14*0.08</f>
        <v>0</v>
      </c>
      <c r="AC14" s="1021" t="s">
        <v>241</v>
      </c>
      <c r="AD14" s="561"/>
      <c r="AE14" s="53" t="str">
        <f>IF(D14&gt;=0,"OK","ERROR")</f>
        <v>OK</v>
      </c>
      <c r="AF14" s="53" t="str">
        <f>IF(E14&lt;=0,"OK","ERROR")</f>
        <v>OK</v>
      </c>
      <c r="AG14" s="964" t="str">
        <f>IF(MIN(F14:O14)&gt;=0,"OK","ERROR")</f>
        <v>OK</v>
      </c>
      <c r="AH14" s="964" t="str">
        <f>IF(MAX(P14:S14)&lt;=0,"OK","ERROR")</f>
        <v>OK</v>
      </c>
      <c r="AI14" s="964" t="str">
        <f>IF(MIN(T14:U14)&gt;=0,"OK","ERROR")</f>
        <v>OK</v>
      </c>
      <c r="AJ14" s="964" t="str">
        <f>IF(V14&lt;=0,"OK","ERROR")</f>
        <v>OK</v>
      </c>
      <c r="AK14" s="964" t="str">
        <f>IF(MIN(W14:AA14)&gt;=0,"OK","ERROR")</f>
        <v>OK</v>
      </c>
      <c r="AM14" s="964" t="str">
        <f>IF(F14=SUM(G14:N14),"OK","ERROR")</f>
        <v>ERROR</v>
      </c>
      <c r="AN14" s="964" t="str">
        <f>IF(W14=SUM(X14:Z14),"OK","ERROR")</f>
        <v>ERROR</v>
      </c>
      <c r="AO14" s="966" t="str">
        <f>IF(MIN(F14:R14)&gt;=0,"OK","ERROR")</f>
        <v>OK</v>
      </c>
      <c r="AP14" s="966" t="str">
        <f>IF(S14&lt;=0,"OK","ERROR")</f>
        <v>OK</v>
      </c>
      <c r="AQ14" s="966" t="str">
        <f>IF(T14&gt;=0,"OK","ERROR")</f>
        <v>OK</v>
      </c>
      <c r="AR14" s="966" t="str">
        <f>IF(U14&gt;=0,"OK","ERROR")</f>
        <v>OK</v>
      </c>
      <c r="AS14" s="966" t="str">
        <f>IF(V14&lt;=0,"OK","ERROR")</f>
        <v>OK</v>
      </c>
      <c r="AT14" s="966" t="str">
        <f>IF(MIN(W14:AB14)&gt;=0,"OK","ERROR")</f>
        <v>OK</v>
      </c>
    </row>
    <row r="15" spans="1:46" ht="27" thickTop="1" thickBot="1" x14ac:dyDescent="0.25">
      <c r="A15" s="1010">
        <v>2</v>
      </c>
      <c r="B15" s="540" t="s">
        <v>38</v>
      </c>
      <c r="C15" s="31"/>
      <c r="D15" s="549">
        <f>D16+D17+D18+D19+D20</f>
        <v>95470000</v>
      </c>
      <c r="E15" s="549">
        <f t="shared" ref="E15:G15" si="1">E16+E17+E18+E19+E20</f>
        <v>0</v>
      </c>
      <c r="F15" s="549">
        <f t="shared" si="1"/>
        <v>95470000</v>
      </c>
      <c r="G15" s="549">
        <f t="shared" si="1"/>
        <v>0</v>
      </c>
      <c r="H15" s="549">
        <f t="shared" ref="H15" si="2">H16+H17+H18+H19+H20</f>
        <v>40000</v>
      </c>
      <c r="I15" s="549">
        <f t="shared" ref="I15:J15" si="3">I16+I17+I18+I19+I20</f>
        <v>0</v>
      </c>
      <c r="J15" s="549">
        <f t="shared" si="3"/>
        <v>0</v>
      </c>
      <c r="K15" s="549">
        <f t="shared" ref="K15" si="4">K16+K17+K18+K19+K20</f>
        <v>0</v>
      </c>
      <c r="L15" s="549">
        <f t="shared" ref="L15:M15" si="5">L16+L17+L18+L19+L20</f>
        <v>0</v>
      </c>
      <c r="M15" s="549">
        <f t="shared" si="5"/>
        <v>0</v>
      </c>
      <c r="N15" s="549">
        <f t="shared" ref="N15" si="6">N16+N17+N18+N19+N20</f>
        <v>0</v>
      </c>
      <c r="O15" s="549">
        <f t="shared" ref="O15" si="7">O16+O17+O18+O19+O20</f>
        <v>95430000</v>
      </c>
      <c r="P15" s="1445">
        <f>P16+P17+P18+P19+P20</f>
        <v>0</v>
      </c>
      <c r="Q15" s="1445">
        <f t="shared" ref="Q15" si="8">Q16+Q17+Q18+Q19+Q20</f>
        <v>0</v>
      </c>
      <c r="R15" s="1445">
        <f t="shared" ref="R15:S15" si="9">R16+R17+R18+R19+R20</f>
        <v>0</v>
      </c>
      <c r="S15" s="1445">
        <f t="shared" si="9"/>
        <v>0</v>
      </c>
      <c r="T15" s="1445">
        <f t="shared" ref="T15" si="10">T16+T17+T18+T19+T20</f>
        <v>0</v>
      </c>
      <c r="U15" s="1445"/>
      <c r="V15" s="1445"/>
      <c r="W15" s="549">
        <f t="shared" ref="W15" si="11">W16+W17+W18+W19+W20</f>
        <v>0</v>
      </c>
      <c r="X15" s="549">
        <f t="shared" ref="X15:Y15" si="12">X16+X17+X18+X19+X20</f>
        <v>0</v>
      </c>
      <c r="Y15" s="549">
        <f t="shared" si="12"/>
        <v>0</v>
      </c>
      <c r="Z15" s="549">
        <f t="shared" ref="Z15" si="13">Z16+Z17+Z18+Z19+Z20</f>
        <v>0</v>
      </c>
      <c r="AA15" s="549">
        <f t="shared" ref="AA15" si="14">AA16+AA17+AA18+AA19+AA20</f>
        <v>240000</v>
      </c>
      <c r="AB15" s="463"/>
      <c r="AC15" s="31"/>
      <c r="AD15" s="1003"/>
      <c r="AE15" s="52"/>
      <c r="AF15" s="52"/>
      <c r="AG15" s="52"/>
      <c r="AH15" s="52"/>
      <c r="AI15" s="52"/>
      <c r="AJ15" s="52"/>
      <c r="AK15" s="52"/>
      <c r="AM15" s="964" t="str">
        <f t="shared" ref="AM15:AM26" si="15">IF(F15=SUM(G15:N15),"OK","ERROR")</f>
        <v>ERROR</v>
      </c>
      <c r="AN15" s="964" t="str">
        <f t="shared" ref="AN15:AN55" si="16">IF(W15=SUM(X15:Z15),"OK","ERROR")</f>
        <v>OK</v>
      </c>
      <c r="AO15" s="967"/>
      <c r="AP15" s="965"/>
      <c r="AQ15" s="970"/>
      <c r="AR15" s="965"/>
      <c r="AS15" s="965"/>
      <c r="AT15" s="967"/>
    </row>
    <row r="16" spans="1:46" ht="14.25" thickTop="1" thickBot="1" x14ac:dyDescent="0.25">
      <c r="A16" s="1010">
        <v>3</v>
      </c>
      <c r="B16" s="520" t="s">
        <v>37</v>
      </c>
      <c r="C16" s="396" t="s">
        <v>241</v>
      </c>
      <c r="D16" s="33">
        <v>95420000</v>
      </c>
      <c r="E16" s="33"/>
      <c r="F16" s="32">
        <f>D16+E16</f>
        <v>95420000</v>
      </c>
      <c r="G16" s="223">
        <f>G21+G53</f>
        <v>0</v>
      </c>
      <c r="H16" s="711"/>
      <c r="I16" s="711"/>
      <c r="J16" s="711"/>
      <c r="K16" s="711"/>
      <c r="L16" s="711"/>
      <c r="M16" s="711"/>
      <c r="N16" s="1445"/>
      <c r="O16" s="549">
        <f>F16</f>
        <v>95420000</v>
      </c>
      <c r="P16" s="1445"/>
      <c r="Q16" s="1445"/>
      <c r="R16" s="1445"/>
      <c r="S16" s="1445"/>
      <c r="T16" s="1445"/>
      <c r="U16" s="1445"/>
      <c r="V16" s="1445"/>
      <c r="W16" s="549">
        <f>U16+V16</f>
        <v>0</v>
      </c>
      <c r="X16" s="223">
        <f>X21+X53</f>
        <v>0</v>
      </c>
      <c r="Y16" s="1445"/>
      <c r="Z16" s="1445"/>
      <c r="AA16" s="33">
        <v>240000</v>
      </c>
      <c r="AB16" s="365">
        <f>AA16*0.08</f>
        <v>19200</v>
      </c>
      <c r="AC16" s="396" t="s">
        <v>241</v>
      </c>
      <c r="AD16" s="561"/>
      <c r="AE16" s="2" t="str">
        <f>IF(D16&gt;=0,"OK","ERROR")</f>
        <v>OK</v>
      </c>
      <c r="AF16" s="2" t="str">
        <f>IF(E16&lt;=0,"OK","ERROR")</f>
        <v>OK</v>
      </c>
      <c r="AG16" s="964" t="str">
        <f>IF(MIN(F16:O16)&gt;=0,"OK","ERROR")</f>
        <v>OK</v>
      </c>
      <c r="AH16" s="964" t="str">
        <f>IF(MAX(P16:S16)&lt;=0,"OK","ERROR")</f>
        <v>OK</v>
      </c>
      <c r="AI16" s="964" t="str">
        <f>IF(MIN(T16:U16)&gt;=0,"OK","ERROR")</f>
        <v>OK</v>
      </c>
      <c r="AJ16" s="964" t="str">
        <f>IF(V16&lt;=0,"OK","ERROR")</f>
        <v>OK</v>
      </c>
      <c r="AK16" s="964" t="str">
        <f>IF(MIN(W16:AA16)&gt;=0,"OK","ERROR")</f>
        <v>OK</v>
      </c>
      <c r="AM16" s="964" t="str">
        <f t="shared" si="15"/>
        <v>ERROR</v>
      </c>
      <c r="AN16" s="964" t="str">
        <f t="shared" si="16"/>
        <v>OK</v>
      </c>
      <c r="AO16" s="968" t="str">
        <f>IF(MIN(F16:R16)&gt;=0,"OK","ERROR")</f>
        <v>OK</v>
      </c>
      <c r="AP16" s="965"/>
      <c r="AQ16" s="965"/>
      <c r="AR16" s="968" t="str">
        <f>IF(U16&gt;=0,"OK","ERROR")</f>
        <v>OK</v>
      </c>
      <c r="AS16" s="965"/>
      <c r="AT16" s="968" t="str">
        <f>IF(MIN(W16:AB16)&gt;=0,"OK","ERROR")</f>
        <v>OK</v>
      </c>
    </row>
    <row r="17" spans="1:46" ht="14.25" thickTop="1" thickBot="1" x14ac:dyDescent="0.25">
      <c r="A17" s="1010">
        <v>4</v>
      </c>
      <c r="B17" s="520" t="s">
        <v>36</v>
      </c>
      <c r="C17" s="396" t="s">
        <v>241</v>
      </c>
      <c r="D17" s="33">
        <v>50000</v>
      </c>
      <c r="E17" s="33"/>
      <c r="F17" s="32">
        <f>D17+E17</f>
        <v>50000</v>
      </c>
      <c r="G17" s="1445"/>
      <c r="H17" s="32">
        <f t="shared" ref="H17:M17" si="17">H21+H53</f>
        <v>40000</v>
      </c>
      <c r="I17" s="223">
        <f t="shared" si="17"/>
        <v>0</v>
      </c>
      <c r="J17" s="32">
        <f t="shared" si="17"/>
        <v>0</v>
      </c>
      <c r="K17" s="223">
        <f t="shared" si="17"/>
        <v>0</v>
      </c>
      <c r="L17" s="32">
        <f t="shared" si="17"/>
        <v>0</v>
      </c>
      <c r="M17" s="32">
        <f t="shared" si="17"/>
        <v>0</v>
      </c>
      <c r="N17" s="1445"/>
      <c r="O17" s="549">
        <f>F17-H17-0.9*I17-0.8*J17-0.6*K17-0.5*L17</f>
        <v>10000</v>
      </c>
      <c r="P17" s="1445"/>
      <c r="Q17" s="1445"/>
      <c r="R17" s="1445"/>
      <c r="S17" s="1445"/>
      <c r="T17" s="1445"/>
      <c r="U17" s="1445"/>
      <c r="V17" s="1445"/>
      <c r="W17" s="549">
        <f>U17+V17</f>
        <v>0</v>
      </c>
      <c r="X17" s="1445"/>
      <c r="Y17" s="223">
        <f>Y21+Y53</f>
        <v>0</v>
      </c>
      <c r="Z17" s="1445"/>
      <c r="AA17" s="33">
        <v>0</v>
      </c>
      <c r="AB17" s="365">
        <f>AA17*0.08</f>
        <v>0</v>
      </c>
      <c r="AC17" s="396" t="s">
        <v>241</v>
      </c>
      <c r="AD17" s="561"/>
      <c r="AE17" s="2" t="str">
        <f>IF(D17&gt;=0,"OK","ERROR")</f>
        <v>OK</v>
      </c>
      <c r="AF17" s="2" t="str">
        <f>IF(E17&lt;=0,"OK","ERROR")</f>
        <v>OK</v>
      </c>
      <c r="AG17" s="964" t="str">
        <f>IF(MIN(F17:O17)&gt;=0,"OK","ERROR")</f>
        <v>OK</v>
      </c>
      <c r="AH17" s="964" t="str">
        <f>IF(MAX(P17:S17)&lt;=0,"OK","ERROR")</f>
        <v>OK</v>
      </c>
      <c r="AI17" s="964" t="str">
        <f>IF(MIN(T17:U17)&gt;=0,"OK","ERROR")</f>
        <v>OK</v>
      </c>
      <c r="AJ17" s="964" t="str">
        <f>IF(V17&lt;=0,"OK","ERROR")</f>
        <v>OK</v>
      </c>
      <c r="AK17" s="964" t="str">
        <f>IF(MIN(W17:AA17)&gt;=0,"OK","ERROR")</f>
        <v>OK</v>
      </c>
      <c r="AM17" s="964" t="str">
        <f t="shared" si="15"/>
        <v>ERROR</v>
      </c>
      <c r="AN17" s="964" t="str">
        <f t="shared" si="16"/>
        <v>OK</v>
      </c>
      <c r="AO17" s="968" t="str">
        <f>IF(MIN(F17:R17)&gt;=0,"OK","ERROR")</f>
        <v>OK</v>
      </c>
      <c r="AP17" s="965"/>
      <c r="AQ17" s="965"/>
      <c r="AR17" s="968" t="str">
        <f>IF(U17&gt;=0,"OK","ERROR")</f>
        <v>OK</v>
      </c>
      <c r="AS17" s="965"/>
      <c r="AT17" s="968" t="str">
        <f>IF(MIN(W17:AB17)&gt;=0,"OK","ERROR")</f>
        <v>OK</v>
      </c>
    </row>
    <row r="18" spans="1:46" ht="14.25" thickTop="1" thickBot="1" x14ac:dyDescent="0.25">
      <c r="A18" s="1010">
        <v>5</v>
      </c>
      <c r="B18" s="1171" t="s">
        <v>1955</v>
      </c>
      <c r="C18" s="229" t="s">
        <v>241</v>
      </c>
      <c r="D18" s="159"/>
      <c r="E18" s="159"/>
      <c r="F18" s="223">
        <f t="shared" ref="F18:F20" si="18">D18+E18</f>
        <v>0</v>
      </c>
      <c r="G18" s="1445"/>
      <c r="H18" s="1445"/>
      <c r="I18" s="1445"/>
      <c r="J18" s="1445"/>
      <c r="K18" s="1445"/>
      <c r="L18" s="1445"/>
      <c r="M18" s="1445"/>
      <c r="N18" s="905"/>
      <c r="O18" s="223">
        <f>N18</f>
        <v>0</v>
      </c>
      <c r="P18" s="1445"/>
      <c r="Q18" s="1445"/>
      <c r="R18" s="1445"/>
      <c r="S18" s="1445"/>
      <c r="T18" s="1445"/>
      <c r="U18" s="1445"/>
      <c r="V18" s="1445"/>
      <c r="W18" s="549">
        <f t="shared" ref="W18:W20" si="19">U18+V18</f>
        <v>0</v>
      </c>
      <c r="X18" s="1445"/>
      <c r="Y18" s="1445"/>
      <c r="Z18" s="905"/>
      <c r="AA18" s="159"/>
      <c r="AB18" s="365"/>
      <c r="AC18" s="229" t="s">
        <v>241</v>
      </c>
      <c r="AD18" s="561"/>
      <c r="AE18" s="503" t="str">
        <f>IF(D18&gt;=0,"OK","ERROR")</f>
        <v>OK</v>
      </c>
      <c r="AF18" s="503" t="str">
        <f>IF(E18&lt;=0,"OK","ERROR")</f>
        <v>OK</v>
      </c>
      <c r="AG18" s="964" t="str">
        <f>IF(MIN(F18:O18)&gt;=0,"OK","ERROR")</f>
        <v>OK</v>
      </c>
      <c r="AH18" s="964" t="str">
        <f>IF(MAX(P18:S18)&lt;=0,"OK","ERROR")</f>
        <v>OK</v>
      </c>
      <c r="AI18" s="964" t="str">
        <f>IF(MIN(T18:U18)&gt;=0,"OK","ERROR")</f>
        <v>OK</v>
      </c>
      <c r="AJ18" s="964" t="str">
        <f>IF(V18&lt;=0,"OK","ERROR")</f>
        <v>OK</v>
      </c>
      <c r="AK18" s="964" t="str">
        <f>IF(MIN(W18:AA18)&gt;=0,"OK","ERROR")</f>
        <v>OK</v>
      </c>
      <c r="AM18" s="964" t="str">
        <f t="shared" si="15"/>
        <v>OK</v>
      </c>
      <c r="AN18" s="964" t="str">
        <f t="shared" si="16"/>
        <v>OK</v>
      </c>
      <c r="AO18" s="968"/>
      <c r="AP18" s="965"/>
      <c r="AQ18" s="965"/>
      <c r="AR18" s="968"/>
      <c r="AS18" s="965"/>
      <c r="AT18" s="968"/>
    </row>
    <row r="19" spans="1:46" ht="14.25" thickTop="1" thickBot="1" x14ac:dyDescent="0.25">
      <c r="A19" s="1010">
        <v>6</v>
      </c>
      <c r="B19" s="1171" t="s">
        <v>1956</v>
      </c>
      <c r="C19" s="229" t="s">
        <v>241</v>
      </c>
      <c r="D19" s="159"/>
      <c r="E19" s="159"/>
      <c r="F19" s="223">
        <f t="shared" si="18"/>
        <v>0</v>
      </c>
      <c r="G19" s="1445"/>
      <c r="H19" s="1445"/>
      <c r="I19" s="918"/>
      <c r="J19" s="1445"/>
      <c r="K19" s="1445"/>
      <c r="L19" s="1445"/>
      <c r="M19" s="1445"/>
      <c r="N19" s="905"/>
      <c r="O19" s="223">
        <f t="shared" ref="O19:O20" si="20">N19</f>
        <v>0</v>
      </c>
      <c r="P19" s="1445"/>
      <c r="Q19" s="1445"/>
      <c r="R19" s="1445"/>
      <c r="S19" s="1445"/>
      <c r="T19" s="1445"/>
      <c r="U19" s="1445"/>
      <c r="V19" s="1445"/>
      <c r="W19" s="549">
        <f t="shared" si="19"/>
        <v>0</v>
      </c>
      <c r="X19" s="1445"/>
      <c r="Y19" s="1445"/>
      <c r="Z19" s="905"/>
      <c r="AA19" s="159"/>
      <c r="AB19" s="365"/>
      <c r="AC19" s="229" t="s">
        <v>241</v>
      </c>
      <c r="AD19" s="561"/>
      <c r="AE19" s="503" t="str">
        <f>IF(D19&gt;=0,"OK","ERROR")</f>
        <v>OK</v>
      </c>
      <c r="AF19" s="503" t="str">
        <f>IF(E19&lt;=0,"OK","ERROR")</f>
        <v>OK</v>
      </c>
      <c r="AG19" s="964" t="str">
        <f>IF(MIN(F19:O19)&gt;=0,"OK","ERROR")</f>
        <v>OK</v>
      </c>
      <c r="AH19" s="964" t="str">
        <f>IF(MAX(P19:S19)&lt;=0,"OK","ERROR")</f>
        <v>OK</v>
      </c>
      <c r="AI19" s="964" t="str">
        <f>IF(MIN(T19:U19)&gt;=0,"OK","ERROR")</f>
        <v>OK</v>
      </c>
      <c r="AJ19" s="964" t="str">
        <f>IF(V19&lt;=0,"OK","ERROR")</f>
        <v>OK</v>
      </c>
      <c r="AK19" s="964" t="str">
        <f>IF(MIN(W19:AA19)&gt;=0,"OK","ERROR")</f>
        <v>OK</v>
      </c>
      <c r="AM19" s="964" t="str">
        <f t="shared" si="15"/>
        <v>OK</v>
      </c>
      <c r="AN19" s="964" t="str">
        <f t="shared" si="16"/>
        <v>OK</v>
      </c>
      <c r="AO19" s="968"/>
      <c r="AP19" s="965"/>
      <c r="AQ19" s="965"/>
      <c r="AR19" s="968"/>
      <c r="AS19" s="965"/>
      <c r="AT19" s="968"/>
    </row>
    <row r="20" spans="1:46" ht="14.25" thickTop="1" thickBot="1" x14ac:dyDescent="0.25">
      <c r="A20" s="1010">
        <v>7</v>
      </c>
      <c r="B20" s="521" t="s">
        <v>1358</v>
      </c>
      <c r="C20" s="229" t="s">
        <v>241</v>
      </c>
      <c r="D20" s="159"/>
      <c r="E20" s="159"/>
      <c r="F20" s="223">
        <f t="shared" si="18"/>
        <v>0</v>
      </c>
      <c r="G20" s="1445"/>
      <c r="H20" s="1445"/>
      <c r="I20" s="1445"/>
      <c r="J20" s="1445"/>
      <c r="K20" s="1445"/>
      <c r="L20" s="1445"/>
      <c r="M20" s="1445"/>
      <c r="N20" s="905"/>
      <c r="O20" s="223">
        <f t="shared" si="20"/>
        <v>0</v>
      </c>
      <c r="P20" s="1445"/>
      <c r="Q20" s="1445"/>
      <c r="R20" s="1445"/>
      <c r="S20" s="1445"/>
      <c r="T20" s="1445"/>
      <c r="U20" s="1445"/>
      <c r="V20" s="1445"/>
      <c r="W20" s="549">
        <f t="shared" si="19"/>
        <v>0</v>
      </c>
      <c r="X20" s="1445"/>
      <c r="Y20" s="1445"/>
      <c r="Z20" s="905"/>
      <c r="AA20" s="159"/>
      <c r="AB20" s="365"/>
      <c r="AC20" s="229" t="s">
        <v>241</v>
      </c>
      <c r="AD20" s="561"/>
      <c r="AE20" s="503" t="str">
        <f>IF(D20&gt;=0,"OK","ERROR")</f>
        <v>OK</v>
      </c>
      <c r="AF20" s="503" t="str">
        <f>IF(E20&lt;=0,"OK","ERROR")</f>
        <v>OK</v>
      </c>
      <c r="AG20" s="964" t="str">
        <f>IF(MIN(F20:O20)&gt;=0,"OK","ERROR")</f>
        <v>OK</v>
      </c>
      <c r="AH20" s="964" t="str">
        <f>IF(MAX(P20:S20)&lt;=0,"OK","ERROR")</f>
        <v>OK</v>
      </c>
      <c r="AI20" s="964" t="str">
        <f>IF(MIN(T20:U20)&gt;=0,"OK","ERROR")</f>
        <v>OK</v>
      </c>
      <c r="AJ20" s="964" t="str">
        <f>IF(V20&lt;=0,"OK","ERROR")</f>
        <v>OK</v>
      </c>
      <c r="AK20" s="964" t="str">
        <f>IF(MIN(W20:AA20)&gt;=0,"OK","ERROR")</f>
        <v>OK</v>
      </c>
      <c r="AM20" s="964" t="str">
        <f t="shared" si="15"/>
        <v>OK</v>
      </c>
      <c r="AN20" s="964" t="str">
        <f t="shared" si="16"/>
        <v>OK</v>
      </c>
      <c r="AO20" s="968"/>
      <c r="AP20" s="965"/>
      <c r="AQ20" s="965"/>
      <c r="AR20" s="968"/>
      <c r="AS20" s="965"/>
      <c r="AT20" s="968"/>
    </row>
    <row r="21" spans="1:46" ht="39.75" thickTop="1" thickBot="1" x14ac:dyDescent="0.25">
      <c r="A21" s="1010">
        <v>8</v>
      </c>
      <c r="B21" s="540" t="s">
        <v>1957</v>
      </c>
      <c r="C21" s="31"/>
      <c r="D21" s="907">
        <f>D22+D23+D25+D26+D28+D29+D30+D31+D32+D33+D35+D37+D38+D39+D40+D44+D45+D47+D48+D50+D52</f>
        <v>95460000</v>
      </c>
      <c r="E21" s="907">
        <f t="shared" ref="E21:K21" si="21">E22+E23+E25+E26+E28+E29+E30+E31+E32+E33+E35+E37+E38+E39+E40+E44+E45+E47+E48+E50+E52</f>
        <v>0</v>
      </c>
      <c r="F21" s="907">
        <f t="shared" si="21"/>
        <v>95460000</v>
      </c>
      <c r="G21" s="907">
        <f t="shared" si="21"/>
        <v>0</v>
      </c>
      <c r="H21" s="907">
        <f t="shared" si="21"/>
        <v>40000</v>
      </c>
      <c r="I21" s="907">
        <f t="shared" si="21"/>
        <v>0</v>
      </c>
      <c r="J21" s="907">
        <f t="shared" si="21"/>
        <v>0</v>
      </c>
      <c r="K21" s="907">
        <f t="shared" si="21"/>
        <v>0</v>
      </c>
      <c r="L21" s="907">
        <f t="shared" ref="L21:Z21" si="22">L22+L23+L25+L26+L28+L29+L30+L31+L32+L33+L35+L37+L38+L39+L40+L44+L45+L48+L50+L52</f>
        <v>0</v>
      </c>
      <c r="M21" s="907">
        <f t="shared" si="22"/>
        <v>0</v>
      </c>
      <c r="N21" s="907">
        <f t="shared" si="22"/>
        <v>0</v>
      </c>
      <c r="O21" s="907">
        <f t="shared" si="22"/>
        <v>95420000</v>
      </c>
      <c r="P21" s="907">
        <f t="shared" si="22"/>
        <v>0</v>
      </c>
      <c r="Q21" s="907">
        <f t="shared" si="22"/>
        <v>0</v>
      </c>
      <c r="R21" s="907">
        <f t="shared" si="22"/>
        <v>0</v>
      </c>
      <c r="S21" s="907">
        <f>S22+S23+S25+S26+S28+S29+S30+S31+S32+S33+S35+S37+S38+S39+S40+S44+S45+S48+S50+S52</f>
        <v>0</v>
      </c>
      <c r="T21" s="907">
        <f t="shared" si="22"/>
        <v>0</v>
      </c>
      <c r="U21" s="907">
        <f t="shared" si="22"/>
        <v>95420000</v>
      </c>
      <c r="V21" s="907">
        <f t="shared" si="22"/>
        <v>0</v>
      </c>
      <c r="W21" s="907">
        <f t="shared" ref="W21" si="23">W22+W23+W25+W26+W28+W29+W30+W31+W32+W33+W35+W37+W38+W39+W40+W44+W45+W47+W48+W50+W52</f>
        <v>95420000</v>
      </c>
      <c r="X21" s="1166">
        <f t="shared" si="22"/>
        <v>0</v>
      </c>
      <c r="Y21" s="1166">
        <f t="shared" si="22"/>
        <v>0</v>
      </c>
      <c r="Z21" s="1166">
        <f t="shared" si="22"/>
        <v>0</v>
      </c>
      <c r="AA21" s="907">
        <f>AA22+AA23+AA25+AA26+AA28+AA29+AA30+AA31+AA32+AA33+AA35+AA37+AA38+AA39+AA40+AA44+AA45+AA48+AA50+AA52</f>
        <v>0</v>
      </c>
      <c r="AB21" s="463"/>
      <c r="AC21" s="31"/>
      <c r="AD21" s="1003"/>
      <c r="AE21" s="24"/>
      <c r="AF21" s="27"/>
      <c r="AG21" s="27"/>
      <c r="AH21" s="27"/>
      <c r="AI21" s="27"/>
      <c r="AJ21" s="27"/>
      <c r="AK21" s="27"/>
      <c r="AL21" s="460" t="e">
        <f>AA21&gt;=SUM(W22*B22,W23*B23,W25*B25,W26*B26,W28*B28,W29*B29,W30*B30,W31*B31,W32*B32,W33*B33,W35*B35,W37*B37,W38*B38,W39*B39,W40*B40,W44*B44,W45*B45,W48*B48,W50*B50,W52*B52)</f>
        <v>#VALUE!</v>
      </c>
      <c r="AM21" s="964" t="str">
        <f t="shared" si="15"/>
        <v>ERROR</v>
      </c>
      <c r="AN21" s="964" t="str">
        <f t="shared" si="16"/>
        <v>ERROR</v>
      </c>
      <c r="AO21" s="971"/>
      <c r="AP21" s="965"/>
      <c r="AQ21" s="965"/>
      <c r="AR21" s="965"/>
      <c r="AS21" s="965"/>
      <c r="AT21" s="965"/>
    </row>
    <row r="22" spans="1:46" ht="14.25" thickTop="1" thickBot="1" x14ac:dyDescent="0.25">
      <c r="A22" s="1010">
        <v>9</v>
      </c>
      <c r="B22" s="522" t="s">
        <v>34</v>
      </c>
      <c r="C22" s="396" t="s">
        <v>241</v>
      </c>
      <c r="D22" s="33">
        <v>94890000</v>
      </c>
      <c r="E22" s="33"/>
      <c r="F22" s="911">
        <f>D22+E22</f>
        <v>94890000</v>
      </c>
      <c r="G22" s="1186"/>
      <c r="H22" s="1185">
        <v>0</v>
      </c>
      <c r="I22" s="1186"/>
      <c r="J22" s="1185"/>
      <c r="K22" s="1186"/>
      <c r="L22" s="1185"/>
      <c r="M22" s="1185"/>
      <c r="N22" s="1186"/>
      <c r="O22" s="1011">
        <f>F22-H22-0.9*I22-0.8*J22-0.6*K22-0.5*L22</f>
        <v>94890000</v>
      </c>
      <c r="P22" s="1186"/>
      <c r="Q22" s="1186"/>
      <c r="R22" s="1186"/>
      <c r="S22" s="1011">
        <f>P22+Q22+R22</f>
        <v>0</v>
      </c>
      <c r="T22" s="1186"/>
      <c r="U22" s="1011">
        <f>O22+S22+T22</f>
        <v>94890000</v>
      </c>
      <c r="V22" s="1186"/>
      <c r="W22" s="1011">
        <f>U22+V22</f>
        <v>94890000</v>
      </c>
      <c r="X22" s="1192"/>
      <c r="Y22" s="1192"/>
      <c r="Z22" s="1192"/>
      <c r="AA22" s="973"/>
      <c r="AB22" s="467"/>
      <c r="AC22" s="396" t="s">
        <v>241</v>
      </c>
      <c r="AD22" s="561"/>
      <c r="AE22" s="2" t="str">
        <f t="shared" ref="AE22:AE52" si="24">IF(D22&gt;=0,"OK","ERROR")</f>
        <v>OK</v>
      </c>
      <c r="AF22" s="2" t="str">
        <f t="shared" ref="AF22:AF43" si="25">IF(E22&lt;=0,"OK","ERROR")</f>
        <v>OK</v>
      </c>
      <c r="AG22" s="964" t="str">
        <f>IF(MIN(F22:O22)&gt;=0,"OK","ERROR")</f>
        <v>OK</v>
      </c>
      <c r="AH22" s="964" t="str">
        <f>IF(MAX(P22:S22)&lt;=0,"OK","ERROR")</f>
        <v>OK</v>
      </c>
      <c r="AI22" s="964" t="str">
        <f>IF(MIN(T22:U22)&gt;=0,"OK","ERROR")</f>
        <v>OK</v>
      </c>
      <c r="AJ22" s="964" t="str">
        <f>IF(V22&lt;=0,"OK","ERROR")</f>
        <v>OK</v>
      </c>
      <c r="AK22" s="964" t="str">
        <f>IF(MIN(W22:AA22)&gt;=0,"OK","ERROR")</f>
        <v>OK</v>
      </c>
      <c r="AL22" s="460" t="b">
        <f>AA22&gt;=W22*B22</f>
        <v>1</v>
      </c>
      <c r="AM22" s="964" t="str">
        <f t="shared" si="15"/>
        <v>ERROR</v>
      </c>
      <c r="AN22" s="964" t="str">
        <f t="shared" si="16"/>
        <v>ERROR</v>
      </c>
      <c r="AO22" s="968" t="str">
        <f>IF(MIN(F22:R22)&gt;=0,"OK","ERROR")</f>
        <v>OK</v>
      </c>
      <c r="AP22" s="965"/>
      <c r="AQ22" s="965"/>
      <c r="AR22" s="968" t="str">
        <f t="shared" ref="AR22:AR50" si="26">IF(U22&gt;=0,"OK","ERROR")</f>
        <v>OK</v>
      </c>
      <c r="AS22" s="965"/>
      <c r="AT22" s="968" t="str">
        <f t="shared" ref="AT22:AT50" si="27">IF(MIN(W22:AB22)&gt;=0,"OK","ERROR")</f>
        <v>OK</v>
      </c>
    </row>
    <row r="23" spans="1:46" ht="14.25" thickTop="1" thickBot="1" x14ac:dyDescent="0.25">
      <c r="A23" s="1010">
        <v>10</v>
      </c>
      <c r="B23" s="40">
        <v>0.1</v>
      </c>
      <c r="C23" s="396" t="s">
        <v>241</v>
      </c>
      <c r="D23" s="33">
        <v>0</v>
      </c>
      <c r="E23" s="33"/>
      <c r="F23" s="911">
        <f>D23+E23</f>
        <v>0</v>
      </c>
      <c r="G23" s="504"/>
      <c r="H23" s="37">
        <v>0</v>
      </c>
      <c r="I23" s="504"/>
      <c r="J23" s="37"/>
      <c r="K23" s="504"/>
      <c r="L23" s="37"/>
      <c r="M23" s="37"/>
      <c r="N23" s="504"/>
      <c r="O23" s="1011">
        <f t="shared" ref="O23:O52" si="28">F23-H23-0.9*I23-0.8*J23-0.6*K23-0.5*L23</f>
        <v>0</v>
      </c>
      <c r="P23" s="1191"/>
      <c r="Q23" s="1191"/>
      <c r="R23" s="1191"/>
      <c r="S23" s="1011">
        <f>P23+Q23+R23</f>
        <v>0</v>
      </c>
      <c r="T23" s="1191"/>
      <c r="U23" s="1011">
        <f t="shared" ref="U23:U55" si="29">O23+S23+T23</f>
        <v>0</v>
      </c>
      <c r="V23" s="1191"/>
      <c r="W23" s="1011">
        <f>U23+V23</f>
        <v>0</v>
      </c>
      <c r="X23" s="905"/>
      <c r="Y23" s="905"/>
      <c r="Z23" s="905"/>
      <c r="AA23" s="815"/>
      <c r="AB23" s="365">
        <f t="shared" ref="AB23:AB50" si="30">AA23*0.08</f>
        <v>0</v>
      </c>
      <c r="AC23" s="396" t="s">
        <v>241</v>
      </c>
      <c r="AD23" s="561"/>
      <c r="AE23" s="2" t="str">
        <f t="shared" si="24"/>
        <v>OK</v>
      </c>
      <c r="AF23" s="2" t="str">
        <f t="shared" si="25"/>
        <v>OK</v>
      </c>
      <c r="AG23" s="964" t="str">
        <f t="shared" ref="AG23:AG35" si="31">IF(MIN(F23:O23)&gt;=0,"OK","ERROR")</f>
        <v>OK</v>
      </c>
      <c r="AH23" s="964" t="str">
        <f t="shared" ref="AH23:AH35" si="32">IF(MAX(P23:S23)&lt;=0,"OK","ERROR")</f>
        <v>OK</v>
      </c>
      <c r="AI23" s="964" t="str">
        <f t="shared" ref="AI23:AI35" si="33">IF(MIN(T23:U23)&gt;=0,"OK","ERROR")</f>
        <v>OK</v>
      </c>
      <c r="AJ23" s="964" t="str">
        <f t="shared" ref="AJ23:AJ35" si="34">IF(V23&lt;=0,"OK","ERROR")</f>
        <v>OK</v>
      </c>
      <c r="AK23" s="964" t="str">
        <f t="shared" ref="AK23:AK35" si="35">IF(MIN(W23:AA23)&gt;=0,"OK","ERROR")</f>
        <v>OK</v>
      </c>
      <c r="AL23" s="460" t="b">
        <f>AA23&gt;=W23*B23</f>
        <v>1</v>
      </c>
      <c r="AM23" s="964" t="str">
        <f t="shared" si="15"/>
        <v>OK</v>
      </c>
      <c r="AN23" s="964" t="str">
        <f t="shared" si="16"/>
        <v>OK</v>
      </c>
      <c r="AO23" s="968" t="str">
        <f>IF(MIN(F23:R23)&gt;=0,"OK","ERROR")</f>
        <v>OK</v>
      </c>
      <c r="AP23" s="965"/>
      <c r="AQ23" s="965"/>
      <c r="AR23" s="968" t="str">
        <f t="shared" si="26"/>
        <v>OK</v>
      </c>
      <c r="AS23" s="965"/>
      <c r="AT23" s="968" t="str">
        <f t="shared" si="27"/>
        <v>OK</v>
      </c>
    </row>
    <row r="24" spans="1:46" ht="14.25" thickTop="1" thickBot="1" x14ac:dyDescent="0.25">
      <c r="A24" s="1010">
        <v>11</v>
      </c>
      <c r="B24" s="1115" t="s">
        <v>1936</v>
      </c>
      <c r="C24" s="396" t="s">
        <v>241</v>
      </c>
      <c r="D24" s="33"/>
      <c r="E24" s="33"/>
      <c r="F24" s="911"/>
      <c r="G24" s="504"/>
      <c r="H24" s="37"/>
      <c r="I24" s="504"/>
      <c r="J24" s="37"/>
      <c r="K24" s="504"/>
      <c r="L24" s="37"/>
      <c r="M24" s="37"/>
      <c r="N24" s="504"/>
      <c r="O24" s="1011"/>
      <c r="P24" s="1191"/>
      <c r="Q24" s="1191"/>
      <c r="R24" s="1191"/>
      <c r="S24" s="1011">
        <f t="shared" ref="S24:S55" si="36">P24+Q24+R24</f>
        <v>0</v>
      </c>
      <c r="T24" s="1191"/>
      <c r="U24" s="1011">
        <f t="shared" si="29"/>
        <v>0</v>
      </c>
      <c r="V24" s="1191"/>
      <c r="W24" s="1011"/>
      <c r="X24" s="905"/>
      <c r="Y24" s="905"/>
      <c r="Z24" s="905"/>
      <c r="AA24" s="815"/>
      <c r="AB24" s="365"/>
      <c r="AC24" s="396" t="s">
        <v>241</v>
      </c>
      <c r="AD24" s="561"/>
      <c r="AE24" s="2" t="str">
        <f t="shared" ref="AE24" si="37">IF(D24&gt;=0,"OK","ERROR")</f>
        <v>OK</v>
      </c>
      <c r="AF24" s="2" t="str">
        <f t="shared" ref="AF24" si="38">IF(E24&lt;=0,"OK","ERROR")</f>
        <v>OK</v>
      </c>
      <c r="AG24" s="964" t="str">
        <f t="shared" ref="AG24" si="39">IF(MIN(F24:O24)&gt;=0,"OK","ERROR")</f>
        <v>OK</v>
      </c>
      <c r="AH24" s="964" t="str">
        <f t="shared" ref="AH24" si="40">IF(MAX(P24:S24)&lt;=0,"OK","ERROR")</f>
        <v>OK</v>
      </c>
      <c r="AI24" s="964" t="str">
        <f t="shared" ref="AI24" si="41">IF(MIN(T24:U24)&gt;=0,"OK","ERROR")</f>
        <v>OK</v>
      </c>
      <c r="AJ24" s="964" t="str">
        <f t="shared" ref="AJ24" si="42">IF(V24&lt;=0,"OK","ERROR")</f>
        <v>OK</v>
      </c>
      <c r="AK24" s="964" t="str">
        <f t="shared" ref="AK24" si="43">IF(MIN(W24:AA24)&gt;=0,"OK","ERROR")</f>
        <v>OK</v>
      </c>
      <c r="AL24" s="460" t="b">
        <f>AA24&gt;=W24*10%</f>
        <v>1</v>
      </c>
      <c r="AM24" s="964" t="str">
        <f t="shared" si="15"/>
        <v>OK</v>
      </c>
      <c r="AN24" s="964" t="str">
        <f t="shared" si="16"/>
        <v>OK</v>
      </c>
      <c r="AO24" s="968" t="str">
        <f>IF(MIN(F24:R24)&gt;=0,"OK","ERROR")</f>
        <v>OK</v>
      </c>
      <c r="AP24" s="965"/>
      <c r="AQ24" s="965"/>
      <c r="AR24" s="968" t="str">
        <f t="shared" ref="AR24" si="44">IF(U24&gt;=0,"OK","ERROR")</f>
        <v>OK</v>
      </c>
      <c r="AS24" s="965"/>
      <c r="AT24" s="968" t="str">
        <f t="shared" ref="AT24" si="45">IF(MIN(W24:AB24)&gt;=0,"OK","ERROR")</f>
        <v>OK</v>
      </c>
    </row>
    <row r="25" spans="1:46" ht="14.25" thickTop="1" thickBot="1" x14ac:dyDescent="0.25">
      <c r="A25" s="1010">
        <v>12</v>
      </c>
      <c r="B25" s="505">
        <v>0.15</v>
      </c>
      <c r="C25" s="396" t="s">
        <v>241</v>
      </c>
      <c r="D25" s="159"/>
      <c r="E25" s="159"/>
      <c r="F25" s="913">
        <f t="shared" ref="F25:F52" si="46">D25+E25</f>
        <v>0</v>
      </c>
      <c r="G25" s="504"/>
      <c r="H25" s="504"/>
      <c r="I25" s="504"/>
      <c r="J25" s="504"/>
      <c r="K25" s="504"/>
      <c r="L25" s="504"/>
      <c r="M25" s="504"/>
      <c r="N25" s="504"/>
      <c r="O25" s="913">
        <f t="shared" si="28"/>
        <v>0</v>
      </c>
      <c r="P25" s="1191"/>
      <c r="Q25" s="1191"/>
      <c r="R25" s="1191"/>
      <c r="S25" s="913">
        <f t="shared" si="36"/>
        <v>0</v>
      </c>
      <c r="T25" s="1191"/>
      <c r="U25" s="908">
        <f>O25+S25+T25</f>
        <v>0</v>
      </c>
      <c r="V25" s="1191"/>
      <c r="W25" s="1011">
        <f>U25+V25</f>
        <v>0</v>
      </c>
      <c r="X25" s="905"/>
      <c r="Y25" s="905"/>
      <c r="Z25" s="905"/>
      <c r="AA25" s="905"/>
      <c r="AB25" s="365"/>
      <c r="AC25" s="396" t="s">
        <v>241</v>
      </c>
      <c r="AD25" s="561"/>
      <c r="AE25" s="503" t="str">
        <f t="shared" si="24"/>
        <v>OK</v>
      </c>
      <c r="AF25" s="503" t="str">
        <f t="shared" si="25"/>
        <v>OK</v>
      </c>
      <c r="AG25" s="964" t="str">
        <f t="shared" si="31"/>
        <v>OK</v>
      </c>
      <c r="AH25" s="964" t="str">
        <f t="shared" si="32"/>
        <v>OK</v>
      </c>
      <c r="AI25" s="964" t="str">
        <f t="shared" si="33"/>
        <v>OK</v>
      </c>
      <c r="AJ25" s="964" t="str">
        <f t="shared" si="34"/>
        <v>OK</v>
      </c>
      <c r="AK25" s="964" t="str">
        <f t="shared" si="35"/>
        <v>OK</v>
      </c>
      <c r="AL25" s="460" t="b">
        <f>AA25&gt;=W25*B25</f>
        <v>1</v>
      </c>
      <c r="AM25" s="964" t="str">
        <f t="shared" si="15"/>
        <v>OK</v>
      </c>
      <c r="AN25" s="964" t="str">
        <f t="shared" si="16"/>
        <v>OK</v>
      </c>
      <c r="AO25" s="968"/>
      <c r="AP25" s="965"/>
      <c r="AQ25" s="965"/>
      <c r="AR25" s="968"/>
      <c r="AS25" s="965"/>
      <c r="AT25" s="968"/>
    </row>
    <row r="26" spans="1:46" ht="14.25" thickTop="1" thickBot="1" x14ac:dyDescent="0.25">
      <c r="A26" s="1010">
        <v>13</v>
      </c>
      <c r="B26" s="553" t="s">
        <v>1754</v>
      </c>
      <c r="C26" s="396" t="s">
        <v>241</v>
      </c>
      <c r="D26" s="33">
        <v>20000</v>
      </c>
      <c r="E26" s="33"/>
      <c r="F26" s="911">
        <f t="shared" si="46"/>
        <v>20000</v>
      </c>
      <c r="G26" s="504"/>
      <c r="H26" s="37">
        <v>0</v>
      </c>
      <c r="I26" s="504"/>
      <c r="J26" s="37"/>
      <c r="K26" s="504"/>
      <c r="L26" s="37"/>
      <c r="M26" s="37"/>
      <c r="N26" s="504"/>
      <c r="O26" s="1011">
        <f t="shared" si="28"/>
        <v>20000</v>
      </c>
      <c r="P26" s="1191"/>
      <c r="Q26" s="1191"/>
      <c r="R26" s="1191"/>
      <c r="S26" s="1011">
        <f t="shared" si="36"/>
        <v>0</v>
      </c>
      <c r="T26" s="1191"/>
      <c r="U26" s="1163">
        <f t="shared" si="29"/>
        <v>20000</v>
      </c>
      <c r="V26" s="1191"/>
      <c r="W26" s="1011">
        <f t="shared" ref="W26:W52" si="47">U26+V26</f>
        <v>20000</v>
      </c>
      <c r="X26" s="905"/>
      <c r="Y26" s="905"/>
      <c r="Z26" s="905"/>
      <c r="AA26" s="815"/>
      <c r="AB26" s="365">
        <f t="shared" si="30"/>
        <v>0</v>
      </c>
      <c r="AC26" s="396" t="s">
        <v>241</v>
      </c>
      <c r="AD26" s="561"/>
      <c r="AE26" s="2" t="str">
        <f t="shared" si="24"/>
        <v>OK</v>
      </c>
      <c r="AF26" s="2" t="str">
        <f t="shared" si="25"/>
        <v>OK</v>
      </c>
      <c r="AG26" s="964" t="str">
        <f t="shared" si="31"/>
        <v>OK</v>
      </c>
      <c r="AH26" s="964" t="str">
        <f t="shared" si="32"/>
        <v>OK</v>
      </c>
      <c r="AI26" s="964" t="str">
        <f t="shared" si="33"/>
        <v>OK</v>
      </c>
      <c r="AJ26" s="964" t="str">
        <f t="shared" si="34"/>
        <v>OK</v>
      </c>
      <c r="AK26" s="964" t="str">
        <f t="shared" si="35"/>
        <v>OK</v>
      </c>
      <c r="AL26" s="460" t="e">
        <f>AA26&gt;=W26*B26</f>
        <v>#VALUE!</v>
      </c>
      <c r="AM26" s="964" t="str">
        <f t="shared" si="15"/>
        <v>ERROR</v>
      </c>
      <c r="AN26" s="964" t="str">
        <f t="shared" si="16"/>
        <v>ERROR</v>
      </c>
      <c r="AO26" s="968" t="str">
        <f>IF(MIN(F26:R26)&gt;=0,"OK","ERROR")</f>
        <v>OK</v>
      </c>
      <c r="AP26" s="965"/>
      <c r="AQ26" s="965"/>
      <c r="AR26" s="968" t="str">
        <f t="shared" si="26"/>
        <v>OK</v>
      </c>
      <c r="AS26" s="965"/>
      <c r="AT26" s="968" t="str">
        <f t="shared" si="27"/>
        <v>OK</v>
      </c>
    </row>
    <row r="27" spans="1:46" ht="14.25" thickTop="1" thickBot="1" x14ac:dyDescent="0.25">
      <c r="A27" s="1010">
        <v>14</v>
      </c>
      <c r="B27" s="553" t="s">
        <v>1755</v>
      </c>
      <c r="C27" s="396" t="s">
        <v>241</v>
      </c>
      <c r="D27" s="33">
        <v>20000</v>
      </c>
      <c r="E27" s="33"/>
      <c r="F27" s="911">
        <f t="shared" si="46"/>
        <v>20000</v>
      </c>
      <c r="G27" s="504"/>
      <c r="H27" s="37">
        <v>0</v>
      </c>
      <c r="I27" s="504"/>
      <c r="J27" s="37"/>
      <c r="K27" s="504"/>
      <c r="L27" s="37"/>
      <c r="M27" s="37"/>
      <c r="N27" s="504"/>
      <c r="O27" s="1011">
        <f t="shared" si="28"/>
        <v>20000</v>
      </c>
      <c r="P27" s="1191"/>
      <c r="Q27" s="1191"/>
      <c r="R27" s="1191"/>
      <c r="S27" s="1011">
        <f t="shared" si="36"/>
        <v>0</v>
      </c>
      <c r="T27" s="1191"/>
      <c r="U27" s="1163">
        <f t="shared" si="29"/>
        <v>20000</v>
      </c>
      <c r="V27" s="1191"/>
      <c r="W27" s="1011">
        <f t="shared" si="47"/>
        <v>20000</v>
      </c>
      <c r="X27" s="905"/>
      <c r="Y27" s="905"/>
      <c r="Z27" s="905"/>
      <c r="AA27" s="815"/>
      <c r="AB27" s="365">
        <f t="shared" si="30"/>
        <v>0</v>
      </c>
      <c r="AC27" s="396" t="s">
        <v>241</v>
      </c>
      <c r="AD27" s="561"/>
      <c r="AE27" s="2" t="str">
        <f t="shared" si="24"/>
        <v>OK</v>
      </c>
      <c r="AF27" s="2" t="str">
        <f t="shared" si="25"/>
        <v>OK</v>
      </c>
      <c r="AG27" s="964" t="str">
        <f t="shared" si="31"/>
        <v>OK</v>
      </c>
      <c r="AH27" s="964" t="str">
        <f t="shared" si="32"/>
        <v>OK</v>
      </c>
      <c r="AI27" s="964" t="str">
        <f t="shared" si="33"/>
        <v>OK</v>
      </c>
      <c r="AJ27" s="964" t="str">
        <f t="shared" si="34"/>
        <v>OK</v>
      </c>
      <c r="AK27" s="964" t="str">
        <f t="shared" si="35"/>
        <v>OK</v>
      </c>
      <c r="AM27" s="964" t="str">
        <f t="shared" ref="AM27:AM55" si="48">IF(F27=SUM(G27:N27),"OK","ERROR")</f>
        <v>ERROR</v>
      </c>
      <c r="AN27" s="964" t="str">
        <f t="shared" si="16"/>
        <v>ERROR</v>
      </c>
      <c r="AO27" s="968" t="str">
        <f>IF(MIN(F27:R27)&gt;=0,"OK","ERROR")</f>
        <v>OK</v>
      </c>
      <c r="AP27" s="965"/>
      <c r="AQ27" s="965"/>
      <c r="AR27" s="968" t="str">
        <f t="shared" si="26"/>
        <v>OK</v>
      </c>
      <c r="AS27" s="965"/>
      <c r="AT27" s="968" t="str">
        <f t="shared" si="27"/>
        <v>OK</v>
      </c>
    </row>
    <row r="28" spans="1:46" ht="14.25" thickTop="1" thickBot="1" x14ac:dyDescent="0.25">
      <c r="A28" s="1010">
        <v>15</v>
      </c>
      <c r="B28" s="505">
        <v>0.25</v>
      </c>
      <c r="C28" s="396" t="s">
        <v>241</v>
      </c>
      <c r="D28" s="159"/>
      <c r="E28" s="159"/>
      <c r="F28" s="913">
        <f t="shared" si="46"/>
        <v>0</v>
      </c>
      <c r="G28" s="504"/>
      <c r="H28" s="504"/>
      <c r="I28" s="504"/>
      <c r="J28" s="504"/>
      <c r="K28" s="504"/>
      <c r="L28" s="504"/>
      <c r="M28" s="504"/>
      <c r="N28" s="504"/>
      <c r="O28" s="913">
        <f t="shared" si="28"/>
        <v>0</v>
      </c>
      <c r="P28" s="1191"/>
      <c r="Q28" s="1191"/>
      <c r="R28" s="1191"/>
      <c r="S28" s="913">
        <f t="shared" si="36"/>
        <v>0</v>
      </c>
      <c r="T28" s="1191"/>
      <c r="U28" s="1165">
        <f t="shared" si="29"/>
        <v>0</v>
      </c>
      <c r="V28" s="1191"/>
      <c r="W28" s="1011">
        <f t="shared" si="47"/>
        <v>0</v>
      </c>
      <c r="X28" s="905"/>
      <c r="Y28" s="905"/>
      <c r="Z28" s="905"/>
      <c r="AA28" s="905"/>
      <c r="AB28" s="365"/>
      <c r="AC28" s="396" t="s">
        <v>241</v>
      </c>
      <c r="AD28" s="561"/>
      <c r="AE28" s="503" t="str">
        <f t="shared" si="24"/>
        <v>OK</v>
      </c>
      <c r="AF28" s="503" t="str">
        <f t="shared" si="25"/>
        <v>OK</v>
      </c>
      <c r="AG28" s="964" t="str">
        <f t="shared" si="31"/>
        <v>OK</v>
      </c>
      <c r="AH28" s="964" t="str">
        <f t="shared" si="32"/>
        <v>OK</v>
      </c>
      <c r="AI28" s="964" t="str">
        <f t="shared" si="33"/>
        <v>OK</v>
      </c>
      <c r="AJ28" s="964" t="str">
        <f t="shared" si="34"/>
        <v>OK</v>
      </c>
      <c r="AK28" s="964" t="str">
        <f t="shared" si="35"/>
        <v>OK</v>
      </c>
      <c r="AL28" s="460" t="b">
        <f t="shared" ref="AL28:AL33" si="49">AA28&gt;=W28*B28</f>
        <v>1</v>
      </c>
      <c r="AM28" s="964" t="str">
        <f t="shared" si="48"/>
        <v>OK</v>
      </c>
      <c r="AN28" s="964" t="str">
        <f t="shared" si="16"/>
        <v>OK</v>
      </c>
      <c r="AO28" s="968"/>
      <c r="AP28" s="965"/>
      <c r="AQ28" s="965"/>
      <c r="AR28" s="968"/>
      <c r="AS28" s="965"/>
      <c r="AT28" s="968"/>
    </row>
    <row r="29" spans="1:46" ht="14.25" thickTop="1" thickBot="1" x14ac:dyDescent="0.25">
      <c r="A29" s="1010">
        <v>16</v>
      </c>
      <c r="B29" s="505">
        <v>0.3</v>
      </c>
      <c r="C29" s="396" t="s">
        <v>241</v>
      </c>
      <c r="D29" s="159"/>
      <c r="E29" s="159"/>
      <c r="F29" s="913">
        <f t="shared" si="46"/>
        <v>0</v>
      </c>
      <c r="G29" s="504"/>
      <c r="H29" s="504"/>
      <c r="I29" s="504"/>
      <c r="J29" s="504"/>
      <c r="K29" s="504"/>
      <c r="L29" s="504"/>
      <c r="M29" s="504"/>
      <c r="N29" s="504"/>
      <c r="O29" s="913">
        <f t="shared" si="28"/>
        <v>0</v>
      </c>
      <c r="P29" s="1191"/>
      <c r="Q29" s="1191"/>
      <c r="R29" s="1191"/>
      <c r="S29" s="913">
        <f t="shared" si="36"/>
        <v>0</v>
      </c>
      <c r="T29" s="1191"/>
      <c r="U29" s="1165">
        <f t="shared" si="29"/>
        <v>0</v>
      </c>
      <c r="V29" s="1191"/>
      <c r="W29" s="1011">
        <f t="shared" si="47"/>
        <v>0</v>
      </c>
      <c r="X29" s="905"/>
      <c r="Y29" s="905"/>
      <c r="Z29" s="905"/>
      <c r="AA29" s="905"/>
      <c r="AB29" s="365"/>
      <c r="AC29" s="396" t="s">
        <v>241</v>
      </c>
      <c r="AD29" s="561"/>
      <c r="AE29" s="503" t="str">
        <f t="shared" si="24"/>
        <v>OK</v>
      </c>
      <c r="AF29" s="503" t="str">
        <f t="shared" si="25"/>
        <v>OK</v>
      </c>
      <c r="AG29" s="964" t="str">
        <f t="shared" si="31"/>
        <v>OK</v>
      </c>
      <c r="AH29" s="964" t="str">
        <f t="shared" si="32"/>
        <v>OK</v>
      </c>
      <c r="AI29" s="964" t="str">
        <f t="shared" si="33"/>
        <v>OK</v>
      </c>
      <c r="AJ29" s="964" t="str">
        <f t="shared" si="34"/>
        <v>OK</v>
      </c>
      <c r="AK29" s="964" t="str">
        <f t="shared" si="35"/>
        <v>OK</v>
      </c>
      <c r="AL29" s="460" t="b">
        <f t="shared" si="49"/>
        <v>1</v>
      </c>
      <c r="AM29" s="964" t="str">
        <f t="shared" si="48"/>
        <v>OK</v>
      </c>
      <c r="AN29" s="964" t="str">
        <f t="shared" si="16"/>
        <v>OK</v>
      </c>
      <c r="AO29" s="968"/>
      <c r="AP29" s="965"/>
      <c r="AQ29" s="965"/>
      <c r="AR29" s="968"/>
      <c r="AS29" s="965"/>
      <c r="AT29" s="968"/>
    </row>
    <row r="30" spans="1:46" ht="14.25" thickTop="1" thickBot="1" x14ac:dyDescent="0.25">
      <c r="A30" s="1010">
        <v>17</v>
      </c>
      <c r="B30" s="40">
        <v>0.35</v>
      </c>
      <c r="C30" s="396" t="s">
        <v>241</v>
      </c>
      <c r="D30" s="33">
        <v>0</v>
      </c>
      <c r="E30" s="33"/>
      <c r="F30" s="911">
        <f t="shared" si="46"/>
        <v>0</v>
      </c>
      <c r="G30" s="504"/>
      <c r="H30" s="37">
        <v>0</v>
      </c>
      <c r="I30" s="504"/>
      <c r="J30" s="37"/>
      <c r="K30" s="504"/>
      <c r="L30" s="37"/>
      <c r="M30" s="37"/>
      <c r="N30" s="504"/>
      <c r="O30" s="1011">
        <f t="shared" si="28"/>
        <v>0</v>
      </c>
      <c r="P30" s="1191"/>
      <c r="Q30" s="1191"/>
      <c r="R30" s="1191"/>
      <c r="S30" s="1011">
        <f t="shared" si="36"/>
        <v>0</v>
      </c>
      <c r="T30" s="1191"/>
      <c r="U30" s="1163">
        <f t="shared" si="29"/>
        <v>0</v>
      </c>
      <c r="V30" s="1191"/>
      <c r="W30" s="1011">
        <f t="shared" si="47"/>
        <v>0</v>
      </c>
      <c r="X30" s="905"/>
      <c r="Y30" s="905"/>
      <c r="Z30" s="905"/>
      <c r="AA30" s="815"/>
      <c r="AB30" s="365">
        <f t="shared" si="30"/>
        <v>0</v>
      </c>
      <c r="AC30" s="396" t="s">
        <v>241</v>
      </c>
      <c r="AD30" s="561"/>
      <c r="AE30" s="2" t="str">
        <f t="shared" si="24"/>
        <v>OK</v>
      </c>
      <c r="AF30" s="2" t="str">
        <f t="shared" si="25"/>
        <v>OK</v>
      </c>
      <c r="AG30" s="964" t="str">
        <f t="shared" si="31"/>
        <v>OK</v>
      </c>
      <c r="AH30" s="964" t="str">
        <f t="shared" si="32"/>
        <v>OK</v>
      </c>
      <c r="AI30" s="964" t="str">
        <f t="shared" si="33"/>
        <v>OK</v>
      </c>
      <c r="AJ30" s="964" t="str">
        <f t="shared" si="34"/>
        <v>OK</v>
      </c>
      <c r="AK30" s="964" t="str">
        <f t="shared" si="35"/>
        <v>OK</v>
      </c>
      <c r="AL30" s="460" t="b">
        <f t="shared" si="49"/>
        <v>1</v>
      </c>
      <c r="AM30" s="964" t="str">
        <f t="shared" si="48"/>
        <v>OK</v>
      </c>
      <c r="AN30" s="964" t="str">
        <f t="shared" si="16"/>
        <v>OK</v>
      </c>
      <c r="AO30" s="968" t="str">
        <f>IF(MIN(F30:R30)&gt;=0,"OK","ERROR")</f>
        <v>OK</v>
      </c>
      <c r="AP30" s="965"/>
      <c r="AQ30" s="965"/>
      <c r="AR30" s="968" t="str">
        <f t="shared" si="26"/>
        <v>OK</v>
      </c>
      <c r="AS30" s="965"/>
      <c r="AT30" s="968" t="str">
        <f t="shared" si="27"/>
        <v>OK</v>
      </c>
    </row>
    <row r="31" spans="1:46" ht="14.25" thickTop="1" thickBot="1" x14ac:dyDescent="0.25">
      <c r="A31" s="1010">
        <v>18</v>
      </c>
      <c r="B31" s="505">
        <v>0.4</v>
      </c>
      <c r="C31" s="396" t="s">
        <v>241</v>
      </c>
      <c r="D31" s="159"/>
      <c r="E31" s="159"/>
      <c r="F31" s="913">
        <f t="shared" si="46"/>
        <v>0</v>
      </c>
      <c r="G31" s="504"/>
      <c r="H31" s="504"/>
      <c r="I31" s="504"/>
      <c r="J31" s="504"/>
      <c r="K31" s="504"/>
      <c r="L31" s="504"/>
      <c r="M31" s="504"/>
      <c r="N31" s="504"/>
      <c r="O31" s="913">
        <f t="shared" si="28"/>
        <v>0</v>
      </c>
      <c r="P31" s="1191"/>
      <c r="Q31" s="1191"/>
      <c r="R31" s="1191"/>
      <c r="S31" s="913">
        <f t="shared" si="36"/>
        <v>0</v>
      </c>
      <c r="T31" s="1191"/>
      <c r="U31" s="1165">
        <f t="shared" si="29"/>
        <v>0</v>
      </c>
      <c r="V31" s="1191"/>
      <c r="W31" s="1011">
        <f t="shared" si="47"/>
        <v>0</v>
      </c>
      <c r="X31" s="905"/>
      <c r="Y31" s="905"/>
      <c r="Z31" s="905"/>
      <c r="AA31" s="905"/>
      <c r="AB31" s="365"/>
      <c r="AC31" s="396" t="s">
        <v>241</v>
      </c>
      <c r="AD31" s="561"/>
      <c r="AE31" s="503" t="str">
        <f t="shared" si="24"/>
        <v>OK</v>
      </c>
      <c r="AF31" s="503" t="str">
        <f t="shared" si="25"/>
        <v>OK</v>
      </c>
      <c r="AG31" s="964" t="str">
        <f t="shared" si="31"/>
        <v>OK</v>
      </c>
      <c r="AH31" s="964" t="str">
        <f t="shared" si="32"/>
        <v>OK</v>
      </c>
      <c r="AI31" s="964" t="str">
        <f t="shared" si="33"/>
        <v>OK</v>
      </c>
      <c r="AJ31" s="964" t="str">
        <f t="shared" si="34"/>
        <v>OK</v>
      </c>
      <c r="AK31" s="964" t="str">
        <f t="shared" si="35"/>
        <v>OK</v>
      </c>
      <c r="AL31" s="460" t="b">
        <f t="shared" si="49"/>
        <v>1</v>
      </c>
      <c r="AM31" s="964" t="str">
        <f t="shared" si="48"/>
        <v>OK</v>
      </c>
      <c r="AN31" s="964" t="str">
        <f t="shared" si="16"/>
        <v>OK</v>
      </c>
      <c r="AO31" s="968"/>
      <c r="AP31" s="965"/>
      <c r="AQ31" s="965"/>
      <c r="AR31" s="968"/>
      <c r="AS31" s="965"/>
      <c r="AT31" s="968"/>
    </row>
    <row r="32" spans="1:46" ht="14.25" thickTop="1" thickBot="1" x14ac:dyDescent="0.25">
      <c r="A32" s="1010">
        <v>19</v>
      </c>
      <c r="B32" s="505">
        <v>0.45</v>
      </c>
      <c r="C32" s="396" t="s">
        <v>241</v>
      </c>
      <c r="D32" s="159"/>
      <c r="E32" s="159"/>
      <c r="F32" s="913">
        <f t="shared" si="46"/>
        <v>0</v>
      </c>
      <c r="G32" s="504"/>
      <c r="H32" s="504"/>
      <c r="I32" s="504"/>
      <c r="J32" s="504"/>
      <c r="K32" s="504"/>
      <c r="L32" s="504"/>
      <c r="M32" s="504"/>
      <c r="N32" s="504"/>
      <c r="O32" s="913">
        <f t="shared" si="28"/>
        <v>0</v>
      </c>
      <c r="P32" s="1191"/>
      <c r="Q32" s="1191"/>
      <c r="R32" s="1191"/>
      <c r="S32" s="913">
        <f t="shared" si="36"/>
        <v>0</v>
      </c>
      <c r="T32" s="1191"/>
      <c r="U32" s="1165">
        <f t="shared" si="29"/>
        <v>0</v>
      </c>
      <c r="V32" s="1191"/>
      <c r="W32" s="1011">
        <f t="shared" si="47"/>
        <v>0</v>
      </c>
      <c r="X32" s="905"/>
      <c r="Y32" s="905"/>
      <c r="Z32" s="905"/>
      <c r="AA32" s="905"/>
      <c r="AB32" s="365"/>
      <c r="AC32" s="396" t="s">
        <v>241</v>
      </c>
      <c r="AD32" s="561"/>
      <c r="AE32" s="503" t="str">
        <f t="shared" si="24"/>
        <v>OK</v>
      </c>
      <c r="AF32" s="503" t="str">
        <f t="shared" si="25"/>
        <v>OK</v>
      </c>
      <c r="AG32" s="964" t="str">
        <f t="shared" si="31"/>
        <v>OK</v>
      </c>
      <c r="AH32" s="964" t="str">
        <f t="shared" si="32"/>
        <v>OK</v>
      </c>
      <c r="AI32" s="964" t="str">
        <f t="shared" si="33"/>
        <v>OK</v>
      </c>
      <c r="AJ32" s="964" t="str">
        <f t="shared" si="34"/>
        <v>OK</v>
      </c>
      <c r="AK32" s="964" t="str">
        <f t="shared" si="35"/>
        <v>OK</v>
      </c>
      <c r="AL32" s="460" t="b">
        <f t="shared" si="49"/>
        <v>1</v>
      </c>
      <c r="AM32" s="964" t="str">
        <f t="shared" si="48"/>
        <v>OK</v>
      </c>
      <c r="AN32" s="964" t="str">
        <f t="shared" si="16"/>
        <v>OK</v>
      </c>
      <c r="AO32" s="968"/>
      <c r="AP32" s="965"/>
      <c r="AQ32" s="965"/>
      <c r="AR32" s="968"/>
      <c r="AS32" s="965"/>
      <c r="AT32" s="968"/>
    </row>
    <row r="33" spans="1:46" ht="14.25" thickTop="1" thickBot="1" x14ac:dyDescent="0.25">
      <c r="A33" s="1010">
        <v>20</v>
      </c>
      <c r="B33" s="553" t="s">
        <v>1761</v>
      </c>
      <c r="C33" s="396" t="s">
        <v>241</v>
      </c>
      <c r="D33" s="33">
        <v>180000</v>
      </c>
      <c r="E33" s="33"/>
      <c r="F33" s="911">
        <f t="shared" si="46"/>
        <v>180000</v>
      </c>
      <c r="G33" s="504"/>
      <c r="H33" s="37">
        <v>0</v>
      </c>
      <c r="I33" s="504"/>
      <c r="J33" s="37"/>
      <c r="K33" s="504"/>
      <c r="L33" s="37"/>
      <c r="M33" s="37"/>
      <c r="N33" s="504"/>
      <c r="O33" s="1011">
        <f t="shared" si="28"/>
        <v>180000</v>
      </c>
      <c r="P33" s="1191"/>
      <c r="Q33" s="1191"/>
      <c r="R33" s="1191"/>
      <c r="S33" s="1011">
        <f t="shared" si="36"/>
        <v>0</v>
      </c>
      <c r="T33" s="1191"/>
      <c r="U33" s="1163">
        <f t="shared" si="29"/>
        <v>180000</v>
      </c>
      <c r="V33" s="1191"/>
      <c r="W33" s="1011">
        <f t="shared" si="47"/>
        <v>180000</v>
      </c>
      <c r="X33" s="905"/>
      <c r="Y33" s="905"/>
      <c r="Z33" s="905"/>
      <c r="AA33" s="815"/>
      <c r="AB33" s="365">
        <f t="shared" si="30"/>
        <v>0</v>
      </c>
      <c r="AC33" s="396" t="s">
        <v>241</v>
      </c>
      <c r="AD33" s="561"/>
      <c r="AE33" s="2" t="str">
        <f t="shared" si="24"/>
        <v>OK</v>
      </c>
      <c r="AF33" s="2" t="str">
        <f t="shared" si="25"/>
        <v>OK</v>
      </c>
      <c r="AG33" s="964" t="str">
        <f t="shared" si="31"/>
        <v>OK</v>
      </c>
      <c r="AH33" s="964" t="str">
        <f t="shared" si="32"/>
        <v>OK</v>
      </c>
      <c r="AI33" s="964" t="str">
        <f t="shared" si="33"/>
        <v>OK</v>
      </c>
      <c r="AJ33" s="964" t="str">
        <f t="shared" si="34"/>
        <v>OK</v>
      </c>
      <c r="AK33" s="964" t="str">
        <f t="shared" si="35"/>
        <v>OK</v>
      </c>
      <c r="AL33" s="460" t="e">
        <f t="shared" si="49"/>
        <v>#VALUE!</v>
      </c>
      <c r="AM33" s="964" t="str">
        <f t="shared" si="48"/>
        <v>ERROR</v>
      </c>
      <c r="AN33" s="964" t="str">
        <f t="shared" si="16"/>
        <v>ERROR</v>
      </c>
      <c r="AO33" s="968" t="str">
        <f>IF(MIN(F33:R33)&gt;=0,"OK","ERROR")</f>
        <v>OK</v>
      </c>
      <c r="AP33" s="965"/>
      <c r="AQ33" s="965"/>
      <c r="AR33" s="968" t="str">
        <f t="shared" si="26"/>
        <v>OK</v>
      </c>
      <c r="AS33" s="965"/>
      <c r="AT33" s="968" t="str">
        <f t="shared" si="27"/>
        <v>OK</v>
      </c>
    </row>
    <row r="34" spans="1:46" ht="14.25" thickTop="1" thickBot="1" x14ac:dyDescent="0.25">
      <c r="A34" s="1010">
        <v>21</v>
      </c>
      <c r="B34" s="553" t="s">
        <v>1755</v>
      </c>
      <c r="C34" s="396" t="s">
        <v>241</v>
      </c>
      <c r="D34" s="33">
        <v>50000</v>
      </c>
      <c r="E34" s="33"/>
      <c r="F34" s="911">
        <f t="shared" si="46"/>
        <v>50000</v>
      </c>
      <c r="G34" s="504"/>
      <c r="H34" s="37">
        <v>0</v>
      </c>
      <c r="I34" s="504"/>
      <c r="J34" s="37"/>
      <c r="K34" s="504"/>
      <c r="L34" s="37"/>
      <c r="M34" s="37"/>
      <c r="N34" s="504"/>
      <c r="O34" s="1011">
        <f t="shared" si="28"/>
        <v>50000</v>
      </c>
      <c r="P34" s="1191"/>
      <c r="Q34" s="1191"/>
      <c r="R34" s="1191"/>
      <c r="S34" s="1011">
        <f t="shared" si="36"/>
        <v>0</v>
      </c>
      <c r="T34" s="1191"/>
      <c r="U34" s="1163">
        <f t="shared" si="29"/>
        <v>50000</v>
      </c>
      <c r="V34" s="1191"/>
      <c r="W34" s="1011">
        <f t="shared" si="47"/>
        <v>50000</v>
      </c>
      <c r="X34" s="905"/>
      <c r="Y34" s="905"/>
      <c r="Z34" s="905"/>
      <c r="AA34" s="815"/>
      <c r="AB34" s="365">
        <f t="shared" si="30"/>
        <v>0</v>
      </c>
      <c r="AC34" s="396" t="s">
        <v>241</v>
      </c>
      <c r="AD34" s="561"/>
      <c r="AE34" s="2" t="str">
        <f t="shared" si="24"/>
        <v>OK</v>
      </c>
      <c r="AF34" s="2" t="str">
        <f t="shared" si="25"/>
        <v>OK</v>
      </c>
      <c r="AG34" s="964" t="str">
        <f t="shared" si="31"/>
        <v>OK</v>
      </c>
      <c r="AH34" s="964" t="str">
        <f t="shared" si="32"/>
        <v>OK</v>
      </c>
      <c r="AI34" s="964" t="str">
        <f t="shared" si="33"/>
        <v>OK</v>
      </c>
      <c r="AJ34" s="964" t="str">
        <f t="shared" si="34"/>
        <v>OK</v>
      </c>
      <c r="AK34" s="964" t="str">
        <f t="shared" si="35"/>
        <v>OK</v>
      </c>
      <c r="AM34" s="964" t="str">
        <f t="shared" si="48"/>
        <v>ERROR</v>
      </c>
      <c r="AN34" s="964" t="str">
        <f t="shared" si="16"/>
        <v>ERROR</v>
      </c>
      <c r="AO34" s="968" t="str">
        <f>IF(MIN(F34:R34)&gt;=0,"OK","ERROR")</f>
        <v>OK</v>
      </c>
      <c r="AP34" s="965"/>
      <c r="AQ34" s="965"/>
      <c r="AR34" s="968" t="str">
        <f t="shared" si="26"/>
        <v>OK</v>
      </c>
      <c r="AS34" s="965"/>
      <c r="AT34" s="968" t="str">
        <f t="shared" si="27"/>
        <v>OK</v>
      </c>
    </row>
    <row r="35" spans="1:46" ht="14.25" thickTop="1" thickBot="1" x14ac:dyDescent="0.25">
      <c r="A35" s="1010">
        <v>22</v>
      </c>
      <c r="B35" s="553" t="s">
        <v>1392</v>
      </c>
      <c r="C35" s="396" t="s">
        <v>241</v>
      </c>
      <c r="D35" s="33">
        <v>0</v>
      </c>
      <c r="E35" s="33"/>
      <c r="F35" s="911">
        <f t="shared" si="46"/>
        <v>0</v>
      </c>
      <c r="G35" s="504"/>
      <c r="H35" s="37">
        <v>0</v>
      </c>
      <c r="I35" s="504"/>
      <c r="J35" s="37"/>
      <c r="K35" s="504"/>
      <c r="L35" s="37"/>
      <c r="M35" s="37"/>
      <c r="N35" s="504"/>
      <c r="O35" s="1011">
        <f t="shared" si="28"/>
        <v>0</v>
      </c>
      <c r="P35" s="1191"/>
      <c r="Q35" s="1191"/>
      <c r="R35" s="1191"/>
      <c r="S35" s="1011">
        <f t="shared" si="36"/>
        <v>0</v>
      </c>
      <c r="T35" s="1191"/>
      <c r="U35" s="1163">
        <f t="shared" si="29"/>
        <v>0</v>
      </c>
      <c r="V35" s="1191"/>
      <c r="W35" s="1011">
        <f t="shared" si="47"/>
        <v>0</v>
      </c>
      <c r="X35" s="905"/>
      <c r="Y35" s="905"/>
      <c r="Z35" s="905"/>
      <c r="AA35" s="815"/>
      <c r="AB35" s="365">
        <f t="shared" si="30"/>
        <v>0</v>
      </c>
      <c r="AC35" s="396" t="s">
        <v>241</v>
      </c>
      <c r="AD35" s="561"/>
      <c r="AE35" s="2" t="str">
        <f t="shared" si="24"/>
        <v>OK</v>
      </c>
      <c r="AF35" s="2" t="str">
        <f t="shared" si="25"/>
        <v>OK</v>
      </c>
      <c r="AG35" s="964" t="str">
        <f t="shared" si="31"/>
        <v>OK</v>
      </c>
      <c r="AH35" s="964" t="str">
        <f t="shared" si="32"/>
        <v>OK</v>
      </c>
      <c r="AI35" s="964" t="str">
        <f t="shared" si="33"/>
        <v>OK</v>
      </c>
      <c r="AJ35" s="964" t="str">
        <f t="shared" si="34"/>
        <v>OK</v>
      </c>
      <c r="AK35" s="964" t="str">
        <f t="shared" si="35"/>
        <v>OK</v>
      </c>
      <c r="AL35" s="460" t="e">
        <f>AA35&gt;=W35*B35</f>
        <v>#VALUE!</v>
      </c>
      <c r="AM35" s="964" t="str">
        <f t="shared" si="48"/>
        <v>OK</v>
      </c>
      <c r="AN35" s="964" t="str">
        <f t="shared" si="16"/>
        <v>OK</v>
      </c>
      <c r="AO35" s="968" t="str">
        <f>IF(MIN(F35:R35)&gt;=0,"OK","ERROR")</f>
        <v>OK</v>
      </c>
      <c r="AP35" s="965"/>
      <c r="AQ35" s="965"/>
      <c r="AR35" s="968" t="str">
        <f t="shared" si="26"/>
        <v>OK</v>
      </c>
      <c r="AS35" s="965"/>
      <c r="AT35" s="968" t="str">
        <f t="shared" si="27"/>
        <v>OK</v>
      </c>
    </row>
    <row r="36" spans="1:46" ht="14.25" thickTop="1" thickBot="1" x14ac:dyDescent="0.25">
      <c r="A36" s="1479">
        <v>23</v>
      </c>
      <c r="B36" s="500" t="s">
        <v>28</v>
      </c>
      <c r="C36" s="396" t="s">
        <v>241</v>
      </c>
      <c r="D36" s="164">
        <v>0</v>
      </c>
      <c r="E36" s="164"/>
      <c r="F36" s="912"/>
      <c r="G36" s="501">
        <v>0</v>
      </c>
      <c r="H36" s="501">
        <v>0</v>
      </c>
      <c r="I36" s="501"/>
      <c r="J36" s="501"/>
      <c r="K36" s="501"/>
      <c r="L36" s="501"/>
      <c r="M36" s="501"/>
      <c r="N36" s="501"/>
      <c r="O36" s="912"/>
      <c r="P36" s="909"/>
      <c r="Q36" s="909"/>
      <c r="R36" s="909"/>
      <c r="S36" s="912"/>
      <c r="T36" s="909"/>
      <c r="U36" s="1164"/>
      <c r="V36" s="909"/>
      <c r="W36" s="912"/>
      <c r="X36" s="1167"/>
      <c r="Y36" s="1167"/>
      <c r="Z36" s="1167"/>
      <c r="AA36" s="910"/>
      <c r="AB36" s="365">
        <f t="shared" si="30"/>
        <v>0</v>
      </c>
      <c r="AC36" s="396" t="s">
        <v>241</v>
      </c>
      <c r="AD36" s="561"/>
      <c r="AE36" s="470" t="str">
        <f t="shared" si="24"/>
        <v>OK</v>
      </c>
      <c r="AF36" s="470" t="str">
        <f t="shared" si="25"/>
        <v>OK</v>
      </c>
      <c r="AG36" s="470"/>
      <c r="AH36" s="470"/>
      <c r="AI36" s="470"/>
      <c r="AJ36" s="470"/>
      <c r="AK36" s="470"/>
      <c r="AM36" s="470"/>
      <c r="AN36" s="470"/>
      <c r="AO36" s="968" t="str">
        <f>IF(MIN(F36:R36)&gt;=0,"OK","ERROR")</f>
        <v>OK</v>
      </c>
      <c r="AP36" s="965"/>
      <c r="AQ36" s="965"/>
      <c r="AR36" s="968" t="str">
        <f t="shared" si="26"/>
        <v>OK</v>
      </c>
      <c r="AS36" s="965"/>
      <c r="AT36" s="968" t="str">
        <f t="shared" si="27"/>
        <v>OK</v>
      </c>
    </row>
    <row r="37" spans="1:46" ht="14.25" thickTop="1" thickBot="1" x14ac:dyDescent="0.25">
      <c r="A37" s="1010">
        <v>24</v>
      </c>
      <c r="B37" s="505">
        <v>0.8</v>
      </c>
      <c r="C37" s="396" t="s">
        <v>241</v>
      </c>
      <c r="D37" s="159"/>
      <c r="E37" s="159"/>
      <c r="F37" s="913">
        <f t="shared" si="46"/>
        <v>0</v>
      </c>
      <c r="G37" s="504"/>
      <c r="H37" s="504"/>
      <c r="I37" s="504"/>
      <c r="J37" s="504"/>
      <c r="K37" s="504"/>
      <c r="L37" s="504"/>
      <c r="M37" s="504"/>
      <c r="N37" s="504"/>
      <c r="O37" s="913">
        <f t="shared" si="28"/>
        <v>0</v>
      </c>
      <c r="P37" s="1191"/>
      <c r="Q37" s="1191"/>
      <c r="R37" s="1191"/>
      <c r="S37" s="913">
        <f t="shared" si="36"/>
        <v>0</v>
      </c>
      <c r="T37" s="1191"/>
      <c r="U37" s="1165">
        <f t="shared" si="29"/>
        <v>0</v>
      </c>
      <c r="V37" s="1191"/>
      <c r="W37" s="1011">
        <f t="shared" si="47"/>
        <v>0</v>
      </c>
      <c r="X37" s="1192"/>
      <c r="Y37" s="1192"/>
      <c r="Z37" s="1192"/>
      <c r="AA37" s="905"/>
      <c r="AB37" s="365"/>
      <c r="AC37" s="396" t="s">
        <v>241</v>
      </c>
      <c r="AD37" s="561"/>
      <c r="AE37" s="503" t="str">
        <f t="shared" si="24"/>
        <v>OK</v>
      </c>
      <c r="AF37" s="503" t="str">
        <f t="shared" si="25"/>
        <v>OK</v>
      </c>
      <c r="AG37" s="964" t="str">
        <f>IF(MIN(F37:O37)&gt;=0,"OK","ERROR")</f>
        <v>OK</v>
      </c>
      <c r="AH37" s="964" t="str">
        <f>IF(MAX(P37:S37)&lt;=0,"OK","ERROR")</f>
        <v>OK</v>
      </c>
      <c r="AI37" s="964" t="str">
        <f>IF(MIN(T37:U37)&gt;=0,"OK","ERROR")</f>
        <v>OK</v>
      </c>
      <c r="AJ37" s="964" t="str">
        <f>IF(V37&lt;=0,"OK","ERROR")</f>
        <v>OK</v>
      </c>
      <c r="AK37" s="964" t="str">
        <f>IF(MIN(W37:AA37)&gt;=0,"OK","ERROR")</f>
        <v>OK</v>
      </c>
      <c r="AL37" s="460" t="b">
        <f>AA37&gt;=W37*B37</f>
        <v>1</v>
      </c>
      <c r="AM37" s="964" t="str">
        <f t="shared" si="48"/>
        <v>OK</v>
      </c>
      <c r="AN37" s="964" t="str">
        <f t="shared" si="16"/>
        <v>OK</v>
      </c>
      <c r="AO37" s="968"/>
      <c r="AP37" s="965"/>
      <c r="AQ37" s="965"/>
      <c r="AR37" s="968"/>
      <c r="AS37" s="965"/>
      <c r="AT37" s="968"/>
    </row>
    <row r="38" spans="1:46" ht="14.25" thickTop="1" thickBot="1" x14ac:dyDescent="0.25">
      <c r="A38" s="1010">
        <v>25</v>
      </c>
      <c r="B38" s="505">
        <v>0.85</v>
      </c>
      <c r="C38" s="396" t="s">
        <v>241</v>
      </c>
      <c r="D38" s="159"/>
      <c r="E38" s="159"/>
      <c r="F38" s="913">
        <f t="shared" si="46"/>
        <v>0</v>
      </c>
      <c r="G38" s="504"/>
      <c r="H38" s="504"/>
      <c r="I38" s="504"/>
      <c r="J38" s="504"/>
      <c r="K38" s="504"/>
      <c r="L38" s="504"/>
      <c r="M38" s="504"/>
      <c r="N38" s="504"/>
      <c r="O38" s="913">
        <f t="shared" si="28"/>
        <v>0</v>
      </c>
      <c r="P38" s="1191"/>
      <c r="Q38" s="1191"/>
      <c r="R38" s="1191"/>
      <c r="S38" s="913">
        <f t="shared" si="36"/>
        <v>0</v>
      </c>
      <c r="T38" s="1191"/>
      <c r="U38" s="1165">
        <f t="shared" si="29"/>
        <v>0</v>
      </c>
      <c r="V38" s="1191"/>
      <c r="W38" s="1011">
        <f t="shared" si="47"/>
        <v>0</v>
      </c>
      <c r="X38" s="905"/>
      <c r="Y38" s="905"/>
      <c r="Z38" s="905"/>
      <c r="AA38" s="905"/>
      <c r="AB38" s="365"/>
      <c r="AC38" s="396" t="s">
        <v>241</v>
      </c>
      <c r="AD38" s="561"/>
      <c r="AE38" s="503" t="str">
        <f t="shared" si="24"/>
        <v>OK</v>
      </c>
      <c r="AF38" s="503" t="str">
        <f t="shared" si="25"/>
        <v>OK</v>
      </c>
      <c r="AG38" s="964" t="str">
        <f>IF(MIN(F38:O38)&gt;=0,"OK","ERROR")</f>
        <v>OK</v>
      </c>
      <c r="AH38" s="964" t="str">
        <f>IF(MAX(P38:S38)&lt;=0,"OK","ERROR")</f>
        <v>OK</v>
      </c>
      <c r="AI38" s="964" t="str">
        <f>IF(MIN(T38:U38)&gt;=0,"OK","ERROR")</f>
        <v>OK</v>
      </c>
      <c r="AJ38" s="964" t="str">
        <f>IF(V38&lt;=0,"OK","ERROR")</f>
        <v>OK</v>
      </c>
      <c r="AK38" s="964" t="str">
        <f>IF(MIN(W38:AA38)&gt;=0,"OK","ERROR")</f>
        <v>OK</v>
      </c>
      <c r="AL38" s="460" t="b">
        <f>AA38&gt;=W38*B38</f>
        <v>1</v>
      </c>
      <c r="AM38" s="964" t="str">
        <f t="shared" si="48"/>
        <v>OK</v>
      </c>
      <c r="AN38" s="964" t="str">
        <f t="shared" si="16"/>
        <v>OK</v>
      </c>
      <c r="AO38" s="968"/>
      <c r="AP38" s="965"/>
      <c r="AQ38" s="965"/>
      <c r="AR38" s="968"/>
      <c r="AS38" s="965"/>
      <c r="AT38" s="968"/>
    </row>
    <row r="39" spans="1:46" ht="14.25" thickTop="1" thickBot="1" x14ac:dyDescent="0.25">
      <c r="A39" s="1010">
        <v>26</v>
      </c>
      <c r="B39" s="505">
        <v>0.9</v>
      </c>
      <c r="C39" s="396" t="s">
        <v>241</v>
      </c>
      <c r="D39" s="159"/>
      <c r="E39" s="159"/>
      <c r="F39" s="913">
        <f t="shared" si="46"/>
        <v>0</v>
      </c>
      <c r="G39" s="504"/>
      <c r="H39" s="504"/>
      <c r="I39" s="504"/>
      <c r="J39" s="504"/>
      <c r="K39" s="504"/>
      <c r="L39" s="504"/>
      <c r="M39" s="504"/>
      <c r="N39" s="504"/>
      <c r="O39" s="913">
        <f t="shared" si="28"/>
        <v>0</v>
      </c>
      <c r="P39" s="1191"/>
      <c r="Q39" s="1191"/>
      <c r="R39" s="1191"/>
      <c r="S39" s="913">
        <f t="shared" si="36"/>
        <v>0</v>
      </c>
      <c r="T39" s="1191"/>
      <c r="U39" s="1165">
        <f t="shared" si="29"/>
        <v>0</v>
      </c>
      <c r="V39" s="1191"/>
      <c r="W39" s="1011">
        <f t="shared" si="47"/>
        <v>0</v>
      </c>
      <c r="X39" s="905"/>
      <c r="Y39" s="905"/>
      <c r="Z39" s="905"/>
      <c r="AA39" s="905"/>
      <c r="AB39" s="365"/>
      <c r="AC39" s="396" t="s">
        <v>241</v>
      </c>
      <c r="AD39" s="561"/>
      <c r="AE39" s="503" t="str">
        <f t="shared" si="24"/>
        <v>OK</v>
      </c>
      <c r="AF39" s="503" t="str">
        <f t="shared" si="25"/>
        <v>OK</v>
      </c>
      <c r="AG39" s="964" t="str">
        <f>IF(MIN(F39:O39)&gt;=0,"OK","ERROR")</f>
        <v>OK</v>
      </c>
      <c r="AH39" s="964" t="str">
        <f>IF(MAX(P39:S39)&lt;=0,"OK","ERROR")</f>
        <v>OK</v>
      </c>
      <c r="AI39" s="964" t="str">
        <f>IF(MIN(T39:U39)&gt;=0,"OK","ERROR")</f>
        <v>OK</v>
      </c>
      <c r="AJ39" s="964" t="str">
        <f>IF(V39&lt;=0,"OK","ERROR")</f>
        <v>OK</v>
      </c>
      <c r="AK39" s="964" t="str">
        <f>IF(MIN(W39:AA39)&gt;=0,"OK","ERROR")</f>
        <v>OK</v>
      </c>
      <c r="AL39" s="460" t="b">
        <f>AA39&gt;=W39*B39</f>
        <v>1</v>
      </c>
      <c r="AM39" s="964" t="str">
        <f t="shared" si="48"/>
        <v>OK</v>
      </c>
      <c r="AN39" s="964" t="str">
        <f t="shared" si="16"/>
        <v>OK</v>
      </c>
      <c r="AO39" s="968"/>
      <c r="AP39" s="965"/>
      <c r="AQ39" s="965"/>
      <c r="AR39" s="968"/>
      <c r="AS39" s="965"/>
      <c r="AT39" s="968"/>
    </row>
    <row r="40" spans="1:46" ht="14.25" thickTop="1" thickBot="1" x14ac:dyDescent="0.25">
      <c r="A40" s="1010">
        <v>27</v>
      </c>
      <c r="B40" s="553" t="s">
        <v>1760</v>
      </c>
      <c r="C40" s="396" t="s">
        <v>241</v>
      </c>
      <c r="D40" s="33">
        <v>140000</v>
      </c>
      <c r="E40" s="33"/>
      <c r="F40" s="911">
        <f t="shared" si="46"/>
        <v>140000</v>
      </c>
      <c r="G40" s="504"/>
      <c r="H40" s="37">
        <v>40000</v>
      </c>
      <c r="I40" s="504"/>
      <c r="J40" s="37"/>
      <c r="K40" s="504"/>
      <c r="L40" s="37"/>
      <c r="M40" s="37"/>
      <c r="N40" s="504"/>
      <c r="O40" s="1011">
        <f t="shared" si="28"/>
        <v>100000</v>
      </c>
      <c r="P40" s="1191"/>
      <c r="Q40" s="1191"/>
      <c r="R40" s="1191"/>
      <c r="S40" s="1011">
        <f t="shared" si="36"/>
        <v>0</v>
      </c>
      <c r="T40" s="1191"/>
      <c r="U40" s="1163">
        <f t="shared" si="29"/>
        <v>100000</v>
      </c>
      <c r="V40" s="1191"/>
      <c r="W40" s="1011">
        <f t="shared" si="47"/>
        <v>100000</v>
      </c>
      <c r="X40" s="905"/>
      <c r="Y40" s="905"/>
      <c r="Z40" s="905"/>
      <c r="AA40" s="815"/>
      <c r="AB40" s="365">
        <f t="shared" si="30"/>
        <v>0</v>
      </c>
      <c r="AC40" s="396" t="s">
        <v>241</v>
      </c>
      <c r="AD40" s="561"/>
      <c r="AE40" s="2" t="str">
        <f t="shared" si="24"/>
        <v>OK</v>
      </c>
      <c r="AF40" s="2" t="str">
        <f t="shared" si="25"/>
        <v>OK</v>
      </c>
      <c r="AG40" s="964" t="str">
        <f>IF(MIN(F40:O40)&gt;=0,"OK","ERROR")</f>
        <v>OK</v>
      </c>
      <c r="AH40" s="964" t="str">
        <f>IF(MAX(P40:S40)&lt;=0,"OK","ERROR")</f>
        <v>OK</v>
      </c>
      <c r="AI40" s="964" t="str">
        <f>IF(MIN(T40:U40)&gt;=0,"OK","ERROR")</f>
        <v>OK</v>
      </c>
      <c r="AJ40" s="964" t="str">
        <f>IF(V40&lt;=0,"OK","ERROR")</f>
        <v>OK</v>
      </c>
      <c r="AK40" s="964" t="str">
        <f>IF(MIN(W40:AA40)&gt;=0,"OK","ERROR")</f>
        <v>OK</v>
      </c>
      <c r="AL40" s="460" t="e">
        <f>AA40&gt;=W40*B40</f>
        <v>#VALUE!</v>
      </c>
      <c r="AM40" s="964" t="str">
        <f t="shared" si="48"/>
        <v>ERROR</v>
      </c>
      <c r="AN40" s="964" t="str">
        <f t="shared" si="16"/>
        <v>ERROR</v>
      </c>
      <c r="AO40" s="968" t="str">
        <f>IF(MIN(F40:R40)&gt;=0,"OK","ERROR")</f>
        <v>OK</v>
      </c>
      <c r="AP40" s="965"/>
      <c r="AQ40" s="965"/>
      <c r="AR40" s="968" t="str">
        <f t="shared" si="26"/>
        <v>OK</v>
      </c>
      <c r="AS40" s="965"/>
      <c r="AT40" s="968" t="str">
        <f t="shared" si="27"/>
        <v>OK</v>
      </c>
    </row>
    <row r="41" spans="1:46" ht="14.25" thickTop="1" thickBot="1" x14ac:dyDescent="0.25">
      <c r="A41" s="1010">
        <v>28</v>
      </c>
      <c r="B41" s="553" t="s">
        <v>1755</v>
      </c>
      <c r="C41" s="396" t="s">
        <v>241</v>
      </c>
      <c r="D41" s="33">
        <v>140000</v>
      </c>
      <c r="E41" s="33"/>
      <c r="F41" s="911">
        <f t="shared" si="46"/>
        <v>140000</v>
      </c>
      <c r="G41" s="504"/>
      <c r="H41" s="37">
        <v>40000</v>
      </c>
      <c r="I41" s="504"/>
      <c r="J41" s="37"/>
      <c r="K41" s="504"/>
      <c r="L41" s="37"/>
      <c r="M41" s="37"/>
      <c r="N41" s="504"/>
      <c r="O41" s="1011">
        <f t="shared" si="28"/>
        <v>100000</v>
      </c>
      <c r="P41" s="1191"/>
      <c r="Q41" s="1191"/>
      <c r="R41" s="1191"/>
      <c r="S41" s="1011">
        <f t="shared" si="36"/>
        <v>0</v>
      </c>
      <c r="T41" s="1191"/>
      <c r="U41" s="1163">
        <f t="shared" si="29"/>
        <v>100000</v>
      </c>
      <c r="V41" s="1191"/>
      <c r="W41" s="1011">
        <f t="shared" si="47"/>
        <v>100000</v>
      </c>
      <c r="X41" s="905"/>
      <c r="Y41" s="905"/>
      <c r="Z41" s="905"/>
      <c r="AA41" s="815"/>
      <c r="AB41" s="365">
        <f t="shared" si="30"/>
        <v>0</v>
      </c>
      <c r="AC41" s="396" t="s">
        <v>241</v>
      </c>
      <c r="AD41" s="561"/>
      <c r="AE41" s="2" t="str">
        <f t="shared" si="24"/>
        <v>OK</v>
      </c>
      <c r="AF41" s="2" t="str">
        <f t="shared" si="25"/>
        <v>OK</v>
      </c>
      <c r="AG41" s="964" t="str">
        <f>IF(MIN(F41:O41)&gt;=0,"OK","ERROR")</f>
        <v>OK</v>
      </c>
      <c r="AH41" s="964" t="str">
        <f>IF(MAX(P41:S41)&lt;=0,"OK","ERROR")</f>
        <v>OK</v>
      </c>
      <c r="AI41" s="964" t="str">
        <f>IF(MIN(T41:U41)&gt;=0,"OK","ERROR")</f>
        <v>OK</v>
      </c>
      <c r="AJ41" s="964" t="str">
        <f>IF(V41&lt;=0,"OK","ERROR")</f>
        <v>OK</v>
      </c>
      <c r="AK41" s="964" t="str">
        <f>IF(MIN(W41:AA41)&gt;=0,"OK","ERROR")</f>
        <v>OK</v>
      </c>
      <c r="AM41" s="964" t="str">
        <f t="shared" si="48"/>
        <v>ERROR</v>
      </c>
      <c r="AN41" s="964" t="str">
        <f t="shared" si="16"/>
        <v>ERROR</v>
      </c>
      <c r="AO41" s="968" t="str">
        <f>IF(MIN(F41:R41)&gt;=0,"OK","ERROR")</f>
        <v>OK</v>
      </c>
      <c r="AP41" s="965"/>
      <c r="AQ41" s="965"/>
      <c r="AR41" s="968" t="str">
        <f t="shared" si="26"/>
        <v>OK</v>
      </c>
      <c r="AS41" s="965"/>
      <c r="AT41" s="968" t="str">
        <f t="shared" si="27"/>
        <v>OK</v>
      </c>
    </row>
    <row r="42" spans="1:46" ht="14.25" thickTop="1" thickBot="1" x14ac:dyDescent="0.25">
      <c r="A42" s="1010">
        <v>29</v>
      </c>
      <c r="B42" s="500" t="s">
        <v>28</v>
      </c>
      <c r="C42" s="396" t="s">
        <v>241</v>
      </c>
      <c r="D42" s="164">
        <v>0</v>
      </c>
      <c r="E42" s="164"/>
      <c r="F42" s="912"/>
      <c r="G42" s="501"/>
      <c r="H42" s="501"/>
      <c r="I42" s="501"/>
      <c r="J42" s="501"/>
      <c r="K42" s="501"/>
      <c r="L42" s="501"/>
      <c r="M42" s="501"/>
      <c r="N42" s="501"/>
      <c r="O42" s="912"/>
      <c r="P42" s="909"/>
      <c r="Q42" s="909"/>
      <c r="R42" s="909"/>
      <c r="S42" s="912"/>
      <c r="T42" s="909"/>
      <c r="U42" s="1164"/>
      <c r="V42" s="909"/>
      <c r="W42" s="912"/>
      <c r="X42" s="910"/>
      <c r="Y42" s="910"/>
      <c r="Z42" s="910"/>
      <c r="AA42" s="910"/>
      <c r="AB42" s="365">
        <f t="shared" si="30"/>
        <v>0</v>
      </c>
      <c r="AC42" s="396" t="s">
        <v>241</v>
      </c>
      <c r="AD42" s="561"/>
      <c r="AE42" s="470" t="str">
        <f t="shared" si="24"/>
        <v>OK</v>
      </c>
      <c r="AF42" s="470" t="str">
        <f t="shared" si="25"/>
        <v>OK</v>
      </c>
      <c r="AG42" s="470"/>
      <c r="AH42" s="470"/>
      <c r="AI42" s="470"/>
      <c r="AJ42" s="470"/>
      <c r="AK42" s="470"/>
      <c r="AM42" s="470"/>
      <c r="AN42" s="470"/>
      <c r="AO42" s="968" t="str">
        <f>IF(MIN(F42:R42)&gt;=0,"OK","ERROR")</f>
        <v>OK</v>
      </c>
      <c r="AP42" s="965"/>
      <c r="AQ42" s="965"/>
      <c r="AR42" s="968" t="str">
        <f t="shared" si="26"/>
        <v>OK</v>
      </c>
      <c r="AS42" s="965"/>
      <c r="AT42" s="968" t="str">
        <f t="shared" si="27"/>
        <v>OK</v>
      </c>
    </row>
    <row r="43" spans="1:46" ht="14.25" thickTop="1" thickBot="1" x14ac:dyDescent="0.25">
      <c r="A43" s="1010">
        <v>30</v>
      </c>
      <c r="B43" s="500" t="s">
        <v>1838</v>
      </c>
      <c r="C43" s="1039" t="s">
        <v>241</v>
      </c>
      <c r="D43" s="164">
        <v>0</v>
      </c>
      <c r="E43" s="164"/>
      <c r="F43" s="912">
        <f t="shared" si="46"/>
        <v>0</v>
      </c>
      <c r="G43" s="501"/>
      <c r="H43" s="501"/>
      <c r="I43" s="501"/>
      <c r="J43" s="501"/>
      <c r="K43" s="501"/>
      <c r="L43" s="501"/>
      <c r="M43" s="501"/>
      <c r="N43" s="501"/>
      <c r="O43" s="912">
        <f t="shared" si="28"/>
        <v>0</v>
      </c>
      <c r="P43" s="909"/>
      <c r="Q43" s="909"/>
      <c r="R43" s="909"/>
      <c r="S43" s="912"/>
      <c r="T43" s="909"/>
      <c r="U43" s="1164">
        <f t="shared" si="29"/>
        <v>0</v>
      </c>
      <c r="V43" s="909"/>
      <c r="W43" s="912">
        <f t="shared" si="47"/>
        <v>0</v>
      </c>
      <c r="X43" s="1167"/>
      <c r="Y43" s="1167"/>
      <c r="Z43" s="1167"/>
      <c r="AA43" s="910"/>
      <c r="AB43" s="365">
        <f t="shared" si="30"/>
        <v>0</v>
      </c>
      <c r="AC43" s="1039" t="s">
        <v>241</v>
      </c>
      <c r="AD43" s="1040"/>
      <c r="AE43" s="470" t="str">
        <f t="shared" si="24"/>
        <v>OK</v>
      </c>
      <c r="AF43" s="470" t="str">
        <f t="shared" si="25"/>
        <v>OK</v>
      </c>
      <c r="AG43" s="1041" t="str">
        <f>IF(MIN(F43:O43)&gt;=0,"OK","ERROR")</f>
        <v>OK</v>
      </c>
      <c r="AH43" s="1041" t="str">
        <f>IF(MAX(P43:S43)&lt;=0,"OK","ERROR")</f>
        <v>OK</v>
      </c>
      <c r="AI43" s="1041" t="str">
        <f>IF(MIN(T43:U43)&gt;=0,"OK","ERROR")</f>
        <v>OK</v>
      </c>
      <c r="AJ43" s="1041" t="str">
        <f>IF(V43&lt;=0,"OK","ERROR")</f>
        <v>OK</v>
      </c>
      <c r="AK43" s="1041" t="str">
        <f>IF(MIN(W43:AA43)&gt;=0,"OK","ERROR")</f>
        <v>OK</v>
      </c>
      <c r="AL43" s="502" t="e">
        <f>AA43&gt;=W43*B43</f>
        <v>#VALUE!</v>
      </c>
      <c r="AM43" s="1041"/>
      <c r="AN43" s="1041"/>
      <c r="AO43" s="968" t="str">
        <f>IF(MIN(F43:R43)&gt;=0,"OK","ERROR")</f>
        <v>OK</v>
      </c>
      <c r="AP43" s="965"/>
      <c r="AQ43" s="965"/>
      <c r="AR43" s="968" t="str">
        <f t="shared" si="26"/>
        <v>OK</v>
      </c>
      <c r="AS43" s="965"/>
      <c r="AT43" s="968" t="str">
        <f t="shared" si="27"/>
        <v>OK</v>
      </c>
    </row>
    <row r="44" spans="1:46" ht="14.25" thickTop="1" thickBot="1" x14ac:dyDescent="0.25">
      <c r="A44" s="1010">
        <v>31</v>
      </c>
      <c r="B44" s="505">
        <v>1.3</v>
      </c>
      <c r="C44" s="396" t="s">
        <v>241</v>
      </c>
      <c r="D44" s="159"/>
      <c r="E44" s="159"/>
      <c r="F44" s="913">
        <f t="shared" si="46"/>
        <v>0</v>
      </c>
      <c r="G44" s="504"/>
      <c r="H44" s="504"/>
      <c r="I44" s="504"/>
      <c r="J44" s="504"/>
      <c r="K44" s="504"/>
      <c r="L44" s="504"/>
      <c r="M44" s="504"/>
      <c r="N44" s="504"/>
      <c r="O44" s="913">
        <f t="shared" si="28"/>
        <v>0</v>
      </c>
      <c r="P44" s="1191"/>
      <c r="Q44" s="1191"/>
      <c r="R44" s="1191"/>
      <c r="S44" s="913">
        <f t="shared" si="36"/>
        <v>0</v>
      </c>
      <c r="T44" s="1191"/>
      <c r="U44" s="1165">
        <f t="shared" si="29"/>
        <v>0</v>
      </c>
      <c r="V44" s="1191"/>
      <c r="W44" s="1011">
        <f t="shared" si="47"/>
        <v>0</v>
      </c>
      <c r="X44" s="1192"/>
      <c r="Y44" s="1192"/>
      <c r="Z44" s="1192"/>
      <c r="AA44" s="905"/>
      <c r="AB44" s="365"/>
      <c r="AC44" s="396" t="s">
        <v>241</v>
      </c>
      <c r="AD44" s="561"/>
      <c r="AE44" s="503" t="str">
        <f t="shared" si="24"/>
        <v>OK</v>
      </c>
      <c r="AF44" s="503"/>
      <c r="AG44" s="964" t="str">
        <f>IF(MIN(F44:O44)&gt;=0,"OK","ERROR")</f>
        <v>OK</v>
      </c>
      <c r="AH44" s="964" t="str">
        <f>IF(MAX(P44:S44)&lt;=0,"OK","ERROR")</f>
        <v>OK</v>
      </c>
      <c r="AI44" s="964" t="str">
        <f>IF(MIN(T44:U44)&gt;=0,"OK","ERROR")</f>
        <v>OK</v>
      </c>
      <c r="AJ44" s="964" t="str">
        <f>IF(V44&lt;=0,"OK","ERROR")</f>
        <v>OK</v>
      </c>
      <c r="AK44" s="964" t="str">
        <f>IF(MIN(W44:AA44)&gt;=0,"OK","ERROR")</f>
        <v>OK</v>
      </c>
      <c r="AL44" s="460" t="b">
        <f>AA44&gt;=W44*B44</f>
        <v>1</v>
      </c>
      <c r="AM44" s="964" t="str">
        <f t="shared" si="48"/>
        <v>OK</v>
      </c>
      <c r="AN44" s="964" t="str">
        <f t="shared" si="16"/>
        <v>OK</v>
      </c>
      <c r="AO44" s="968"/>
      <c r="AP44" s="965"/>
      <c r="AQ44" s="965"/>
      <c r="AR44" s="968"/>
      <c r="AS44" s="965"/>
      <c r="AT44" s="968"/>
    </row>
    <row r="45" spans="1:46" ht="14.25" thickTop="1" thickBot="1" x14ac:dyDescent="0.25">
      <c r="A45" s="1010">
        <v>32</v>
      </c>
      <c r="B45" s="553" t="s">
        <v>1759</v>
      </c>
      <c r="C45" s="396" t="s">
        <v>241</v>
      </c>
      <c r="D45" s="33">
        <v>230000</v>
      </c>
      <c r="E45" s="33"/>
      <c r="F45" s="911">
        <f t="shared" si="46"/>
        <v>230000</v>
      </c>
      <c r="G45" s="504"/>
      <c r="H45" s="37"/>
      <c r="I45" s="504"/>
      <c r="J45" s="37"/>
      <c r="K45" s="504"/>
      <c r="L45" s="37"/>
      <c r="M45" s="37"/>
      <c r="N45" s="504"/>
      <c r="O45" s="1011">
        <f t="shared" si="28"/>
        <v>230000</v>
      </c>
      <c r="P45" s="1191"/>
      <c r="Q45" s="1191"/>
      <c r="R45" s="1191"/>
      <c r="S45" s="1011">
        <f t="shared" si="36"/>
        <v>0</v>
      </c>
      <c r="T45" s="1191"/>
      <c r="U45" s="1163">
        <f t="shared" si="29"/>
        <v>230000</v>
      </c>
      <c r="V45" s="1191"/>
      <c r="W45" s="1011">
        <f t="shared" si="47"/>
        <v>230000</v>
      </c>
      <c r="X45" s="905"/>
      <c r="Y45" s="905"/>
      <c r="Z45" s="905"/>
      <c r="AA45" s="815"/>
      <c r="AB45" s="365">
        <f t="shared" si="30"/>
        <v>0</v>
      </c>
      <c r="AC45" s="396" t="s">
        <v>241</v>
      </c>
      <c r="AD45" s="561"/>
      <c r="AE45" s="2" t="str">
        <f t="shared" si="24"/>
        <v>OK</v>
      </c>
      <c r="AF45" s="2" t="str">
        <f t="shared" ref="AF45:AF52" si="50">IF(E45&lt;=0,"OK","ERROR")</f>
        <v>OK</v>
      </c>
      <c r="AG45" s="964" t="str">
        <f>IF(MIN(F45:O45)&gt;=0,"OK","ERROR")</f>
        <v>OK</v>
      </c>
      <c r="AH45" s="964" t="str">
        <f>IF(MAX(P45:S45)&lt;=0,"OK","ERROR")</f>
        <v>OK</v>
      </c>
      <c r="AI45" s="964" t="str">
        <f>IF(MIN(T45:U45)&gt;=0,"OK","ERROR")</f>
        <v>OK</v>
      </c>
      <c r="AJ45" s="964" t="str">
        <f>IF(V45&lt;=0,"OK","ERROR")</f>
        <v>OK</v>
      </c>
      <c r="AK45" s="964" t="str">
        <f>IF(MIN(W45:AA45)&gt;=0,"OK","ERROR")</f>
        <v>OK</v>
      </c>
      <c r="AL45" s="460" t="e">
        <f>AA45&gt;=W45*B45</f>
        <v>#VALUE!</v>
      </c>
      <c r="AM45" s="964" t="str">
        <f t="shared" si="48"/>
        <v>ERROR</v>
      </c>
      <c r="AN45" s="964" t="str">
        <f t="shared" si="16"/>
        <v>ERROR</v>
      </c>
      <c r="AO45" s="968" t="str">
        <f>IF(MIN(F45:R45)&gt;=0,"OK","ERROR")</f>
        <v>OK</v>
      </c>
      <c r="AP45" s="965"/>
      <c r="AQ45" s="965"/>
      <c r="AR45" s="968" t="str">
        <f t="shared" si="26"/>
        <v>OK</v>
      </c>
      <c r="AS45" s="965"/>
      <c r="AT45" s="968" t="str">
        <f t="shared" si="27"/>
        <v>OK</v>
      </c>
    </row>
    <row r="46" spans="1:46" ht="14.25" thickTop="1" thickBot="1" x14ac:dyDescent="0.25">
      <c r="A46" s="1010">
        <v>33</v>
      </c>
      <c r="B46" s="500" t="s">
        <v>1838</v>
      </c>
      <c r="C46" s="1039" t="s">
        <v>241</v>
      </c>
      <c r="D46" s="164">
        <v>230000</v>
      </c>
      <c r="E46" s="164"/>
      <c r="F46" s="912">
        <f t="shared" si="46"/>
        <v>230000</v>
      </c>
      <c r="G46" s="501"/>
      <c r="H46" s="501"/>
      <c r="I46" s="501"/>
      <c r="J46" s="501"/>
      <c r="K46" s="501"/>
      <c r="L46" s="501"/>
      <c r="M46" s="501"/>
      <c r="N46" s="501"/>
      <c r="O46" s="912">
        <f t="shared" si="28"/>
        <v>230000</v>
      </c>
      <c r="P46" s="909"/>
      <c r="Q46" s="909"/>
      <c r="R46" s="909"/>
      <c r="S46" s="912"/>
      <c r="T46" s="909"/>
      <c r="U46" s="1164">
        <f t="shared" si="29"/>
        <v>230000</v>
      </c>
      <c r="V46" s="909"/>
      <c r="W46" s="912">
        <f t="shared" si="47"/>
        <v>230000</v>
      </c>
      <c r="X46" s="910"/>
      <c r="Y46" s="910"/>
      <c r="Z46" s="910"/>
      <c r="AA46" s="910"/>
      <c r="AB46" s="365">
        <f t="shared" si="30"/>
        <v>0</v>
      </c>
      <c r="AC46" s="1039" t="s">
        <v>241</v>
      </c>
      <c r="AD46" s="1040"/>
      <c r="AE46" s="470" t="str">
        <f t="shared" si="24"/>
        <v>OK</v>
      </c>
      <c r="AF46" s="470" t="str">
        <f t="shared" si="50"/>
        <v>OK</v>
      </c>
      <c r="AG46" s="1041" t="str">
        <f>IF(MIN(F46:O46)&gt;=0,"OK","ERROR")</f>
        <v>OK</v>
      </c>
      <c r="AH46" s="1041" t="str">
        <f>IF(MAX(P46:S46)&lt;=0,"OK","ERROR")</f>
        <v>OK</v>
      </c>
      <c r="AI46" s="1041" t="str">
        <f>IF(MIN(T46:U46)&gt;=0,"OK","ERROR")</f>
        <v>OK</v>
      </c>
      <c r="AJ46" s="1041" t="str">
        <f>IF(V46&lt;=0,"OK","ERROR")</f>
        <v>OK</v>
      </c>
      <c r="AK46" s="1041" t="str">
        <f>IF(MIN(W46:AA46)&gt;=0,"OK","ERROR")</f>
        <v>OK</v>
      </c>
      <c r="AL46" s="502"/>
      <c r="AM46" s="1041"/>
      <c r="AN46" s="1041"/>
      <c r="AO46" s="968" t="str">
        <f>IF(MIN(F46:R46)&gt;=0,"OK","ERROR")</f>
        <v>OK</v>
      </c>
      <c r="AP46" s="965"/>
      <c r="AQ46" s="965"/>
      <c r="AR46" s="968" t="str">
        <f t="shared" si="26"/>
        <v>OK</v>
      </c>
      <c r="AS46" s="965"/>
      <c r="AT46" s="968" t="str">
        <f t="shared" si="27"/>
        <v>OK</v>
      </c>
    </row>
    <row r="47" spans="1:46" ht="14.25" thickTop="1" thickBot="1" x14ac:dyDescent="0.25">
      <c r="A47" s="1010">
        <v>34</v>
      </c>
      <c r="B47" s="500">
        <v>3.5</v>
      </c>
      <c r="C47" s="396" t="s">
        <v>241</v>
      </c>
      <c r="D47" s="164"/>
      <c r="E47" s="164"/>
      <c r="F47" s="912"/>
      <c r="G47" s="501"/>
      <c r="H47" s="501"/>
      <c r="I47" s="501"/>
      <c r="J47" s="501"/>
      <c r="K47" s="501"/>
      <c r="L47" s="501"/>
      <c r="M47" s="501"/>
      <c r="N47" s="501"/>
      <c r="O47" s="912"/>
      <c r="P47" s="909"/>
      <c r="Q47" s="909"/>
      <c r="R47" s="909"/>
      <c r="S47" s="912"/>
      <c r="T47" s="909"/>
      <c r="U47" s="1164"/>
      <c r="V47" s="909"/>
      <c r="W47" s="912"/>
      <c r="X47" s="1167"/>
      <c r="Y47" s="1167"/>
      <c r="Z47" s="1167"/>
      <c r="AA47" s="910"/>
      <c r="AB47" s="365">
        <f>AA47*0.08</f>
        <v>0</v>
      </c>
      <c r="AC47" s="396" t="s">
        <v>241</v>
      </c>
      <c r="AD47" s="561"/>
      <c r="AE47" s="470" t="str">
        <f t="shared" si="24"/>
        <v>OK</v>
      </c>
      <c r="AF47" s="470" t="str">
        <f t="shared" si="50"/>
        <v>OK</v>
      </c>
      <c r="AG47" s="470"/>
      <c r="AH47" s="470"/>
      <c r="AI47" s="470"/>
      <c r="AJ47" s="470"/>
      <c r="AK47" s="470"/>
      <c r="AM47" s="470"/>
      <c r="AN47" s="470"/>
      <c r="AO47" s="968" t="str">
        <f>IF(MIN(F47:R47)&gt;=0,"OK","ERROR")</f>
        <v>OK</v>
      </c>
      <c r="AP47" s="965"/>
      <c r="AQ47" s="965"/>
      <c r="AR47" s="968" t="str">
        <f>IF(U47&gt;=0,"OK","ERROR")</f>
        <v>OK</v>
      </c>
      <c r="AS47" s="965"/>
      <c r="AT47" s="968" t="str">
        <f>IF(MIN(W47:AB47)&gt;=0,"OK","ERROR")</f>
        <v>OK</v>
      </c>
    </row>
    <row r="48" spans="1:46" ht="14.25" thickTop="1" thickBot="1" x14ac:dyDescent="0.25">
      <c r="A48" s="1010">
        <v>35</v>
      </c>
      <c r="B48" s="505" t="s">
        <v>1758</v>
      </c>
      <c r="C48" s="396" t="s">
        <v>241</v>
      </c>
      <c r="D48" s="159"/>
      <c r="E48" s="159"/>
      <c r="F48" s="913">
        <f t="shared" si="46"/>
        <v>0</v>
      </c>
      <c r="G48" s="504"/>
      <c r="H48" s="504"/>
      <c r="I48" s="504"/>
      <c r="J48" s="504"/>
      <c r="K48" s="504"/>
      <c r="L48" s="504"/>
      <c r="M48" s="504"/>
      <c r="N48" s="504"/>
      <c r="O48" s="913">
        <f t="shared" si="28"/>
        <v>0</v>
      </c>
      <c r="P48" s="504"/>
      <c r="Q48" s="504"/>
      <c r="R48" s="504"/>
      <c r="S48" s="913">
        <f t="shared" si="36"/>
        <v>0</v>
      </c>
      <c r="T48" s="504"/>
      <c r="U48" s="1165">
        <f t="shared" si="29"/>
        <v>0</v>
      </c>
      <c r="V48" s="504"/>
      <c r="W48" s="1011">
        <f t="shared" si="47"/>
        <v>0</v>
      </c>
      <c r="X48" s="504"/>
      <c r="Y48" s="504"/>
      <c r="Z48" s="504"/>
      <c r="AA48" s="905"/>
      <c r="AB48" s="365">
        <f>AA48*0.08</f>
        <v>0</v>
      </c>
      <c r="AC48" s="396" t="s">
        <v>241</v>
      </c>
      <c r="AD48" s="561"/>
      <c r="AE48" s="503" t="str">
        <f t="shared" si="24"/>
        <v>OK</v>
      </c>
      <c r="AF48" s="503" t="str">
        <f t="shared" si="50"/>
        <v>OK</v>
      </c>
      <c r="AG48" s="964" t="str">
        <f>IF(MIN(F48:O48)&gt;=0,"OK","ERROR")</f>
        <v>OK</v>
      </c>
      <c r="AH48" s="964" t="str">
        <f>IF(MAX(P48:S48)&lt;=0,"OK","ERROR")</f>
        <v>OK</v>
      </c>
      <c r="AI48" s="964" t="str">
        <f>IF(MIN(T48:U48)&gt;=0,"OK","ERROR")</f>
        <v>OK</v>
      </c>
      <c r="AJ48" s="964" t="str">
        <f>IF(V48&lt;=0,"OK","ERROR")</f>
        <v>OK</v>
      </c>
      <c r="AK48" s="964" t="str">
        <f>IF(MIN(W48:AA48)&gt;=0,"OK","ERROR")</f>
        <v>OK</v>
      </c>
      <c r="AL48" s="964" t="str">
        <f>IF(AA48&gt;=W48*IF('Delivery note'!H4&lt;DATE(2024,12,31),130%,IF('Delivery note'!H4&lt;DATE(2025,12,31),160%,IF('Delivery note'!H4&lt;DATE(2026,12,31),190%,IF('Delivery note'!H4&lt;DATE(2027,12,31),220%,250%)))),"OK","ERROR")</f>
        <v>OK</v>
      </c>
      <c r="AM48" s="964" t="str">
        <f t="shared" si="48"/>
        <v>OK</v>
      </c>
      <c r="AN48" s="964" t="str">
        <f t="shared" si="16"/>
        <v>OK</v>
      </c>
      <c r="AO48" s="968" t="str">
        <f>IF(MIN(F48:R48)&gt;=0,"OK","ERROR")</f>
        <v>OK</v>
      </c>
      <c r="AP48" s="965"/>
      <c r="AQ48" s="965"/>
      <c r="AR48" s="968" t="str">
        <f>IF(U48&gt;=0,"OK","ERROR")</f>
        <v>OK</v>
      </c>
      <c r="AS48" s="965"/>
      <c r="AT48" s="968" t="str">
        <f>IF(MIN(W48:AB48)&gt;=0,"OK","ERROR")</f>
        <v>OK</v>
      </c>
    </row>
    <row r="49" spans="1:46" ht="52.5" thickTop="1" thickBot="1" x14ac:dyDescent="0.25">
      <c r="A49" s="1010">
        <v>36</v>
      </c>
      <c r="B49" s="579" t="s">
        <v>1756</v>
      </c>
      <c r="C49" s="396" t="s">
        <v>241</v>
      </c>
      <c r="D49" s="159"/>
      <c r="E49" s="159"/>
      <c r="F49" s="913">
        <f t="shared" si="46"/>
        <v>0</v>
      </c>
      <c r="G49" s="504"/>
      <c r="H49" s="504"/>
      <c r="I49" s="504"/>
      <c r="J49" s="504"/>
      <c r="K49" s="504"/>
      <c r="L49" s="504"/>
      <c r="M49" s="1187"/>
      <c r="N49" s="504"/>
      <c r="O49" s="913">
        <f t="shared" si="28"/>
        <v>0</v>
      </c>
      <c r="P49" s="504"/>
      <c r="Q49" s="504"/>
      <c r="R49" s="504"/>
      <c r="S49" s="913">
        <f t="shared" si="36"/>
        <v>0</v>
      </c>
      <c r="T49" s="504"/>
      <c r="U49" s="1165">
        <f t="shared" si="29"/>
        <v>0</v>
      </c>
      <c r="V49" s="504"/>
      <c r="W49" s="1011">
        <f t="shared" si="47"/>
        <v>0</v>
      </c>
      <c r="X49" s="504"/>
      <c r="Y49" s="504"/>
      <c r="Z49" s="504"/>
      <c r="AA49" s="905"/>
      <c r="AB49" s="365"/>
      <c r="AC49" s="396" t="s">
        <v>241</v>
      </c>
      <c r="AD49" s="561"/>
      <c r="AE49" s="503" t="str">
        <f t="shared" si="24"/>
        <v>OK</v>
      </c>
      <c r="AF49" s="503" t="str">
        <f t="shared" si="50"/>
        <v>OK</v>
      </c>
      <c r="AG49" s="964" t="str">
        <f>IF(MIN(F49:O49)&gt;=0,"OK","ERROR")</f>
        <v>OK</v>
      </c>
      <c r="AH49" s="964" t="str">
        <f>IF(MAX(P49:S49)&lt;=0,"OK","ERROR")</f>
        <v>OK</v>
      </c>
      <c r="AI49" s="964" t="str">
        <f>IF(MIN(T49:U49)&gt;=0,"OK","ERROR")</f>
        <v>OK</v>
      </c>
      <c r="AJ49" s="964" t="str">
        <f>IF(V49&lt;=0,"OK","ERROR")</f>
        <v>OK</v>
      </c>
      <c r="AK49" s="964" t="str">
        <f>IF(MIN(W49:AA49)&gt;=0,"OK","ERROR")</f>
        <v>OK</v>
      </c>
      <c r="AM49" s="964" t="str">
        <f t="shared" si="48"/>
        <v>OK</v>
      </c>
      <c r="AN49" s="964" t="str">
        <f t="shared" si="16"/>
        <v>OK</v>
      </c>
      <c r="AO49" s="968"/>
      <c r="AP49" s="965"/>
      <c r="AQ49" s="965"/>
      <c r="AR49" s="968"/>
      <c r="AS49" s="965"/>
      <c r="AT49" s="968"/>
    </row>
    <row r="50" spans="1:46" ht="14.25" thickTop="1" thickBot="1" x14ac:dyDescent="0.25">
      <c r="A50" s="1010">
        <v>37</v>
      </c>
      <c r="B50" s="505" t="s">
        <v>1762</v>
      </c>
      <c r="C50" s="396" t="s">
        <v>241</v>
      </c>
      <c r="D50" s="159"/>
      <c r="E50" s="159"/>
      <c r="F50" s="913">
        <f t="shared" si="46"/>
        <v>0</v>
      </c>
      <c r="G50" s="504"/>
      <c r="H50" s="504"/>
      <c r="I50" s="504"/>
      <c r="J50" s="504"/>
      <c r="K50" s="504"/>
      <c r="L50" s="504"/>
      <c r="M50" s="504"/>
      <c r="N50" s="504"/>
      <c r="O50" s="913">
        <f t="shared" si="28"/>
        <v>0</v>
      </c>
      <c r="P50" s="504"/>
      <c r="Q50" s="504"/>
      <c r="R50" s="504"/>
      <c r="S50" s="913">
        <f t="shared" si="36"/>
        <v>0</v>
      </c>
      <c r="T50" s="504"/>
      <c r="U50" s="1165">
        <f t="shared" si="29"/>
        <v>0</v>
      </c>
      <c r="V50" s="504"/>
      <c r="W50" s="1011">
        <f t="shared" si="47"/>
        <v>0</v>
      </c>
      <c r="X50" s="504"/>
      <c r="Y50" s="504"/>
      <c r="Z50" s="504"/>
      <c r="AA50" s="905"/>
      <c r="AB50" s="365">
        <f t="shared" si="30"/>
        <v>0</v>
      </c>
      <c r="AC50" s="396" t="s">
        <v>241</v>
      </c>
      <c r="AD50" s="561"/>
      <c r="AE50" s="503" t="str">
        <f t="shared" si="24"/>
        <v>OK</v>
      </c>
      <c r="AF50" s="503" t="str">
        <f t="shared" si="50"/>
        <v>OK</v>
      </c>
      <c r="AG50" s="964" t="str">
        <f>IF(MIN(F50:O50)&gt;=0,"OK","ERROR")</f>
        <v>OK</v>
      </c>
      <c r="AH50" s="964" t="str">
        <f>IF(MAX(P50:S50)&lt;=0,"OK","ERROR")</f>
        <v>OK</v>
      </c>
      <c r="AI50" s="964" t="str">
        <f>IF(MIN(T50:U50)&gt;=0,"OK","ERROR")</f>
        <v>OK</v>
      </c>
      <c r="AJ50" s="964" t="str">
        <f>IF(V50&lt;=0,"OK","ERROR")</f>
        <v>OK</v>
      </c>
      <c r="AK50" s="964" t="str">
        <f>IF(MIN(W50:AA50)&gt;=0,"OK","ERROR")</f>
        <v>OK</v>
      </c>
      <c r="AL50" s="964" t="str">
        <f>IF(AA50&gt;=W50*IF('Delivery note'!H6&lt;DATE(2024,12,31),160%,IF('Delivery note'!H6&lt;DATE(2025,12,31),220%,IF('Delivery note'!H6&lt;DATE(2026,12,31),280%,IF('Delivery note'!H6&lt;DATE(2027,12,31),340%,400%)))),"OK","ERROR")</f>
        <v>OK</v>
      </c>
      <c r="AM50" s="964" t="str">
        <f t="shared" si="48"/>
        <v>OK</v>
      </c>
      <c r="AN50" s="964" t="str">
        <f t="shared" si="16"/>
        <v>OK</v>
      </c>
      <c r="AO50" s="968" t="str">
        <f>IF(MIN(F50:R50)&gt;=0,"OK","ERROR")</f>
        <v>OK</v>
      </c>
      <c r="AP50" s="965"/>
      <c r="AQ50" s="965"/>
      <c r="AR50" s="968" t="str">
        <f t="shared" si="26"/>
        <v>OK</v>
      </c>
      <c r="AS50" s="965"/>
      <c r="AT50" s="968" t="str">
        <f t="shared" si="27"/>
        <v>OK</v>
      </c>
    </row>
    <row r="51" spans="1:46" ht="52.5" thickTop="1" thickBot="1" x14ac:dyDescent="0.25">
      <c r="A51" s="1010">
        <v>38</v>
      </c>
      <c r="B51" s="579" t="s">
        <v>1757</v>
      </c>
      <c r="C51" s="396" t="s">
        <v>241</v>
      </c>
      <c r="D51" s="159"/>
      <c r="E51" s="159"/>
      <c r="F51" s="913">
        <f t="shared" si="46"/>
        <v>0</v>
      </c>
      <c r="G51" s="504"/>
      <c r="H51" s="504"/>
      <c r="I51" s="504"/>
      <c r="J51" s="504"/>
      <c r="K51" s="504"/>
      <c r="L51" s="504"/>
      <c r="M51" s="1187"/>
      <c r="N51" s="504"/>
      <c r="O51" s="913">
        <f t="shared" si="28"/>
        <v>0</v>
      </c>
      <c r="P51" s="504"/>
      <c r="Q51" s="504"/>
      <c r="R51" s="504"/>
      <c r="S51" s="913">
        <f t="shared" si="36"/>
        <v>0</v>
      </c>
      <c r="T51" s="504"/>
      <c r="U51" s="1165">
        <f t="shared" si="29"/>
        <v>0</v>
      </c>
      <c r="V51" s="504"/>
      <c r="W51" s="1011">
        <f t="shared" si="47"/>
        <v>0</v>
      </c>
      <c r="X51" s="504"/>
      <c r="Y51" s="504"/>
      <c r="Z51" s="504"/>
      <c r="AA51" s="905"/>
      <c r="AB51" s="365"/>
      <c r="AC51" s="396" t="s">
        <v>241</v>
      </c>
      <c r="AD51" s="561"/>
      <c r="AE51" s="503" t="str">
        <f t="shared" si="24"/>
        <v>OK</v>
      </c>
      <c r="AF51" s="503" t="str">
        <f t="shared" si="50"/>
        <v>OK</v>
      </c>
      <c r="AG51" s="964" t="str">
        <f>IF(MIN(F51:O51)&gt;=0,"OK","ERROR")</f>
        <v>OK</v>
      </c>
      <c r="AH51" s="964" t="str">
        <f>IF(MAX(P51:S51)&lt;=0,"OK","ERROR")</f>
        <v>OK</v>
      </c>
      <c r="AI51" s="964" t="str">
        <f>IF(MIN(T51:U51)&gt;=0,"OK","ERROR")</f>
        <v>OK</v>
      </c>
      <c r="AJ51" s="964" t="str">
        <f>IF(V51&lt;=0,"OK","ERROR")</f>
        <v>OK</v>
      </c>
      <c r="AK51" s="964" t="str">
        <f>IF(MIN(W51:AA51)&gt;=0,"OK","ERROR")</f>
        <v>OK</v>
      </c>
      <c r="AM51" s="964" t="str">
        <f t="shared" si="48"/>
        <v>OK</v>
      </c>
      <c r="AN51" s="964" t="str">
        <f t="shared" si="16"/>
        <v>OK</v>
      </c>
      <c r="AO51" s="968"/>
      <c r="AP51" s="965"/>
      <c r="AQ51" s="965"/>
      <c r="AR51" s="968"/>
      <c r="AS51" s="965"/>
      <c r="AT51" s="968"/>
    </row>
    <row r="52" spans="1:46" ht="14.25" thickTop="1" thickBot="1" x14ac:dyDescent="0.25">
      <c r="A52" s="1010">
        <v>39</v>
      </c>
      <c r="B52" s="505">
        <v>12.5</v>
      </c>
      <c r="C52" s="396" t="s">
        <v>241</v>
      </c>
      <c r="D52" s="159"/>
      <c r="E52" s="159"/>
      <c r="F52" s="913">
        <f t="shared" si="46"/>
        <v>0</v>
      </c>
      <c r="G52" s="504"/>
      <c r="H52" s="504"/>
      <c r="I52" s="504"/>
      <c r="J52" s="504"/>
      <c r="K52" s="504"/>
      <c r="L52" s="504"/>
      <c r="M52" s="504"/>
      <c r="N52" s="504"/>
      <c r="O52" s="913">
        <f t="shared" si="28"/>
        <v>0</v>
      </c>
      <c r="P52" s="504"/>
      <c r="Q52" s="504"/>
      <c r="R52" s="504"/>
      <c r="S52" s="913">
        <f t="shared" si="36"/>
        <v>0</v>
      </c>
      <c r="T52" s="504"/>
      <c r="U52" s="1165">
        <f t="shared" si="29"/>
        <v>0</v>
      </c>
      <c r="V52" s="504"/>
      <c r="W52" s="1011">
        <f t="shared" si="47"/>
        <v>0</v>
      </c>
      <c r="X52" s="504"/>
      <c r="Y52" s="504"/>
      <c r="Z52" s="504"/>
      <c r="AA52" s="905"/>
      <c r="AB52" s="365">
        <f>AA52*0.08</f>
        <v>0</v>
      </c>
      <c r="AC52" s="396" t="s">
        <v>241</v>
      </c>
      <c r="AD52" s="561"/>
      <c r="AE52" s="503" t="str">
        <f t="shared" si="24"/>
        <v>OK</v>
      </c>
      <c r="AF52" s="503" t="str">
        <f t="shared" si="50"/>
        <v>OK</v>
      </c>
      <c r="AG52" s="964" t="str">
        <f>IF(MIN(F52:O52)&gt;=0,"OK","ERROR")</f>
        <v>OK</v>
      </c>
      <c r="AH52" s="964" t="str">
        <f>IF(MAX(P52:S52)&lt;=0,"OK","ERROR")</f>
        <v>OK</v>
      </c>
      <c r="AI52" s="964" t="str">
        <f>IF(MIN(T52:U52)&gt;=0,"OK","ERROR")</f>
        <v>OK</v>
      </c>
      <c r="AJ52" s="964" t="str">
        <f>IF(V52&lt;=0,"OK","ERROR")</f>
        <v>OK</v>
      </c>
      <c r="AK52" s="964" t="str">
        <f>IF(MIN(W52:AA52)&gt;=0,"OK","ERROR")</f>
        <v>OK</v>
      </c>
      <c r="AL52" s="460" t="b">
        <f>AA52&gt;=W52*B52</f>
        <v>1</v>
      </c>
      <c r="AM52" s="964" t="str">
        <f t="shared" si="48"/>
        <v>OK</v>
      </c>
      <c r="AN52" s="964" t="str">
        <f t="shared" si="16"/>
        <v>OK</v>
      </c>
      <c r="AO52" s="968" t="str">
        <f>IF(MIN(F52:R52)&gt;=0,"OK","ERROR")</f>
        <v>OK</v>
      </c>
      <c r="AP52" s="965"/>
      <c r="AQ52" s="965"/>
      <c r="AR52" s="968" t="str">
        <f>IF(U52&gt;=0,"OK","ERROR")</f>
        <v>OK</v>
      </c>
      <c r="AS52" s="965"/>
      <c r="AT52" s="968" t="str">
        <f>IF(MIN(W52:AB52)&gt;=0,"OK","ERROR")</f>
        <v>OK</v>
      </c>
    </row>
    <row r="53" spans="1:46" ht="27" thickTop="1" thickBot="1" x14ac:dyDescent="0.25">
      <c r="A53" s="1010">
        <v>40</v>
      </c>
      <c r="B53" s="540" t="s">
        <v>1837</v>
      </c>
      <c r="C53" s="31"/>
      <c r="D53" s="907">
        <f>SUM(D54+D55)</f>
        <v>0</v>
      </c>
      <c r="E53" s="907">
        <f t="shared" ref="E53:AA53" si="51">SUM(E54+E55)</f>
        <v>0</v>
      </c>
      <c r="F53" s="907">
        <f t="shared" si="51"/>
        <v>0</v>
      </c>
      <c r="G53" s="907">
        <f t="shared" si="51"/>
        <v>0</v>
      </c>
      <c r="H53" s="907">
        <f t="shared" si="51"/>
        <v>0</v>
      </c>
      <c r="I53" s="907">
        <f t="shared" si="51"/>
        <v>0</v>
      </c>
      <c r="J53" s="907">
        <f t="shared" si="51"/>
        <v>0</v>
      </c>
      <c r="K53" s="907">
        <f t="shared" si="51"/>
        <v>0</v>
      </c>
      <c r="L53" s="907">
        <f t="shared" si="51"/>
        <v>0</v>
      </c>
      <c r="M53" s="907">
        <f t="shared" si="51"/>
        <v>0</v>
      </c>
      <c r="N53" s="907">
        <f t="shared" si="51"/>
        <v>0</v>
      </c>
      <c r="O53" s="907">
        <f t="shared" si="51"/>
        <v>0</v>
      </c>
      <c r="P53" s="907">
        <f t="shared" si="51"/>
        <v>0</v>
      </c>
      <c r="Q53" s="907">
        <f t="shared" si="51"/>
        <v>0</v>
      </c>
      <c r="R53" s="907">
        <f t="shared" si="51"/>
        <v>0</v>
      </c>
      <c r="S53" s="907">
        <f t="shared" si="51"/>
        <v>0</v>
      </c>
      <c r="T53" s="907">
        <f t="shared" si="51"/>
        <v>0</v>
      </c>
      <c r="U53" s="907">
        <f t="shared" si="51"/>
        <v>0</v>
      </c>
      <c r="V53" s="907">
        <f t="shared" si="51"/>
        <v>0</v>
      </c>
      <c r="W53" s="907">
        <f t="shared" si="51"/>
        <v>0</v>
      </c>
      <c r="X53" s="907">
        <f t="shared" si="51"/>
        <v>0</v>
      </c>
      <c r="Y53" s="907">
        <f t="shared" si="51"/>
        <v>0</v>
      </c>
      <c r="Z53" s="907">
        <f t="shared" si="51"/>
        <v>0</v>
      </c>
      <c r="AA53" s="907">
        <f t="shared" si="51"/>
        <v>0</v>
      </c>
      <c r="AB53" s="463"/>
      <c r="AC53" s="31"/>
      <c r="AD53" s="1003"/>
      <c r="AE53" s="503" t="str">
        <f t="shared" ref="AE53:AE55" si="52">IF(D53&gt;=0,"OK","ERROR")</f>
        <v>OK</v>
      </c>
      <c r="AF53" s="503" t="str">
        <f t="shared" ref="AF53:AF55" si="53">IF(E53&lt;=0,"OK","ERROR")</f>
        <v>OK</v>
      </c>
      <c r="AG53" s="964" t="str">
        <f t="shared" ref="AG53:AG55" si="54">IF(MIN(F53:O53)&gt;=0,"OK","ERROR")</f>
        <v>OK</v>
      </c>
      <c r="AH53" s="964" t="str">
        <f t="shared" ref="AH53:AH55" si="55">IF(MAX(P53:S53)&lt;=0,"OK","ERROR")</f>
        <v>OK</v>
      </c>
      <c r="AI53" s="964" t="str">
        <f t="shared" ref="AI53:AI55" si="56">IF(MIN(T53:U53)&gt;=0,"OK","ERROR")</f>
        <v>OK</v>
      </c>
      <c r="AJ53" s="964" t="str">
        <f t="shared" ref="AJ53:AJ55" si="57">IF(V53&lt;=0,"OK","ERROR")</f>
        <v>OK</v>
      </c>
      <c r="AK53" s="964" t="str">
        <f t="shared" ref="AK53:AK55" si="58">IF(MIN(W53:AA53)&gt;=0,"OK","ERROR")</f>
        <v>OK</v>
      </c>
      <c r="AL53" s="460" t="b">
        <f>AA53=SUM(W54*B54,W55*B55)</f>
        <v>1</v>
      </c>
      <c r="AM53" s="964" t="str">
        <f t="shared" si="48"/>
        <v>OK</v>
      </c>
      <c r="AN53" s="964" t="str">
        <f t="shared" si="16"/>
        <v>OK</v>
      </c>
      <c r="AO53" s="971"/>
      <c r="AP53" s="965"/>
      <c r="AQ53" s="965"/>
      <c r="AR53" s="965"/>
      <c r="AS53" s="965"/>
      <c r="AT53" s="965"/>
    </row>
    <row r="54" spans="1:46" ht="14.25" thickTop="1" thickBot="1" x14ac:dyDescent="0.25">
      <c r="A54" s="1010">
        <v>41</v>
      </c>
      <c r="B54" s="505">
        <v>1</v>
      </c>
      <c r="C54" s="396" t="s">
        <v>241</v>
      </c>
      <c r="D54" s="159"/>
      <c r="E54" s="159"/>
      <c r="F54" s="913"/>
      <c r="G54" s="504"/>
      <c r="H54" s="504"/>
      <c r="I54" s="504"/>
      <c r="J54" s="504"/>
      <c r="K54" s="504"/>
      <c r="L54" s="504"/>
      <c r="M54" s="504"/>
      <c r="N54" s="504"/>
      <c r="O54" s="913"/>
      <c r="P54" s="504"/>
      <c r="Q54" s="504"/>
      <c r="R54" s="504"/>
      <c r="S54" s="913">
        <f t="shared" si="36"/>
        <v>0</v>
      </c>
      <c r="T54" s="504"/>
      <c r="U54" s="1165">
        <f t="shared" si="29"/>
        <v>0</v>
      </c>
      <c r="V54" s="504"/>
      <c r="W54" s="1011"/>
      <c r="X54" s="504"/>
      <c r="Y54" s="504"/>
      <c r="Z54" s="504"/>
      <c r="AA54" s="905"/>
      <c r="AB54" s="365"/>
      <c r="AC54" s="396" t="s">
        <v>241</v>
      </c>
      <c r="AD54" s="561"/>
      <c r="AE54" s="503" t="str">
        <f t="shared" si="52"/>
        <v>OK</v>
      </c>
      <c r="AF54" s="503" t="str">
        <f t="shared" si="53"/>
        <v>OK</v>
      </c>
      <c r="AG54" s="964" t="str">
        <f t="shared" si="54"/>
        <v>OK</v>
      </c>
      <c r="AH54" s="964" t="str">
        <f t="shared" si="55"/>
        <v>OK</v>
      </c>
      <c r="AI54" s="964" t="str">
        <f t="shared" si="56"/>
        <v>OK</v>
      </c>
      <c r="AJ54" s="964" t="str">
        <f t="shared" si="57"/>
        <v>OK</v>
      </c>
      <c r="AK54" s="964" t="str">
        <f t="shared" si="58"/>
        <v>OK</v>
      </c>
      <c r="AL54" s="460" t="b">
        <f>AA54=W54*B54</f>
        <v>1</v>
      </c>
      <c r="AM54" s="964" t="str">
        <f t="shared" si="48"/>
        <v>OK</v>
      </c>
      <c r="AN54" s="964" t="str">
        <f t="shared" si="16"/>
        <v>OK</v>
      </c>
      <c r="AO54" s="968"/>
      <c r="AP54" s="965"/>
      <c r="AQ54" s="965"/>
      <c r="AR54" s="968"/>
      <c r="AS54" s="965"/>
      <c r="AT54" s="968"/>
    </row>
    <row r="55" spans="1:46" ht="14.25" thickTop="1" thickBot="1" x14ac:dyDescent="0.25">
      <c r="A55" s="1010">
        <v>42</v>
      </c>
      <c r="B55" s="505">
        <v>1.5</v>
      </c>
      <c r="C55" s="396" t="s">
        <v>241</v>
      </c>
      <c r="D55" s="159"/>
      <c r="E55" s="159"/>
      <c r="F55" s="913"/>
      <c r="G55" s="504"/>
      <c r="H55" s="504"/>
      <c r="I55" s="504"/>
      <c r="J55" s="504"/>
      <c r="K55" s="504"/>
      <c r="L55" s="504"/>
      <c r="M55" s="504"/>
      <c r="N55" s="504"/>
      <c r="O55" s="913"/>
      <c r="P55" s="504"/>
      <c r="Q55" s="504"/>
      <c r="R55" s="504"/>
      <c r="S55" s="913">
        <f t="shared" si="36"/>
        <v>0</v>
      </c>
      <c r="T55" s="504"/>
      <c r="U55" s="1165">
        <f t="shared" si="29"/>
        <v>0</v>
      </c>
      <c r="V55" s="504"/>
      <c r="W55" s="1011"/>
      <c r="X55" s="504"/>
      <c r="Y55" s="504"/>
      <c r="Z55" s="504"/>
      <c r="AA55" s="905"/>
      <c r="AB55" s="365"/>
      <c r="AC55" s="396" t="s">
        <v>241</v>
      </c>
      <c r="AD55" s="561"/>
      <c r="AE55" s="503" t="str">
        <f t="shared" si="52"/>
        <v>OK</v>
      </c>
      <c r="AF55" s="503" t="str">
        <f t="shared" si="53"/>
        <v>OK</v>
      </c>
      <c r="AG55" s="964" t="str">
        <f t="shared" si="54"/>
        <v>OK</v>
      </c>
      <c r="AH55" s="964" t="str">
        <f t="shared" si="55"/>
        <v>OK</v>
      </c>
      <c r="AI55" s="964" t="str">
        <f t="shared" si="56"/>
        <v>OK</v>
      </c>
      <c r="AJ55" s="964" t="str">
        <f t="shared" si="57"/>
        <v>OK</v>
      </c>
      <c r="AK55" s="964" t="str">
        <f t="shared" si="58"/>
        <v>OK</v>
      </c>
      <c r="AL55" s="460" t="b">
        <f>AA55=W55*B55</f>
        <v>1</v>
      </c>
      <c r="AM55" s="964" t="str">
        <f t="shared" si="48"/>
        <v>OK</v>
      </c>
      <c r="AN55" s="964" t="str">
        <f t="shared" si="16"/>
        <v>OK</v>
      </c>
      <c r="AO55" s="968"/>
      <c r="AP55" s="965"/>
      <c r="AQ55" s="965"/>
      <c r="AR55" s="968"/>
      <c r="AS55" s="965"/>
      <c r="AT55" s="968"/>
    </row>
    <row r="56" spans="1:46" ht="13.5" thickTop="1" x14ac:dyDescent="0.2">
      <c r="A56" s="996"/>
      <c r="B56" s="555"/>
      <c r="C56" s="312"/>
      <c r="D56" s="556"/>
      <c r="E56" s="556"/>
      <c r="F56" s="556"/>
      <c r="G56" s="556"/>
      <c r="H56" s="556"/>
      <c r="I56" s="556"/>
      <c r="J56" s="556"/>
      <c r="K56" s="556"/>
      <c r="L56" s="556"/>
      <c r="M56" s="556"/>
      <c r="N56" s="556"/>
      <c r="O56" s="556"/>
      <c r="P56" s="556"/>
      <c r="Q56" s="556"/>
      <c r="R56" s="556"/>
      <c r="S56" s="556"/>
      <c r="T56" s="556"/>
      <c r="U56" s="556"/>
      <c r="V56" s="556"/>
      <c r="W56" s="556"/>
      <c r="X56" s="556"/>
      <c r="Y56" s="556"/>
      <c r="Z56" s="556"/>
      <c r="AA56" s="556"/>
      <c r="AB56" s="556"/>
      <c r="AC56" s="312"/>
      <c r="AD56" s="557"/>
      <c r="AE56" s="557"/>
      <c r="AF56" s="558"/>
      <c r="AG56" s="558"/>
      <c r="AH56" s="558"/>
      <c r="AI56" s="558"/>
      <c r="AJ56" s="558"/>
      <c r="AK56" s="558"/>
      <c r="AL56" s="260"/>
      <c r="AM56" s="260"/>
      <c r="AN56" s="260"/>
      <c r="AO56" s="995"/>
      <c r="AP56" s="974"/>
      <c r="AQ56" s="974"/>
      <c r="AR56" s="974"/>
      <c r="AS56" s="974"/>
      <c r="AT56" s="974"/>
    </row>
    <row r="57" spans="1:46" x14ac:dyDescent="0.2">
      <c r="B57" s="559" t="str">
        <f>"Version: "&amp;D64</f>
        <v>Version: 2.01.E0</v>
      </c>
      <c r="C57" s="542"/>
      <c r="D57" s="542"/>
      <c r="E57" s="542"/>
      <c r="F57" s="542"/>
      <c r="G57" s="542"/>
      <c r="H57" s="542"/>
      <c r="I57" s="542"/>
      <c r="J57" s="542"/>
      <c r="K57" s="542"/>
      <c r="L57" s="542"/>
      <c r="M57" s="542"/>
      <c r="N57" s="542"/>
      <c r="O57" s="542"/>
      <c r="P57" s="542"/>
      <c r="Q57" s="542"/>
      <c r="R57" s="542"/>
      <c r="S57" s="542"/>
      <c r="T57" s="542"/>
      <c r="U57" s="542"/>
      <c r="V57" s="542"/>
      <c r="W57" s="542"/>
      <c r="X57" s="542"/>
      <c r="Y57" s="542"/>
      <c r="Z57" s="542"/>
      <c r="AA57" s="542"/>
      <c r="AB57" s="972"/>
      <c r="AC57" s="560" t="s">
        <v>25</v>
      </c>
      <c r="AD57" s="561"/>
      <c r="AE57" s="561"/>
      <c r="AF57" s="557"/>
      <c r="AG57" s="557"/>
      <c r="AH57" s="557"/>
      <c r="AI57" s="557"/>
      <c r="AJ57" s="557"/>
      <c r="AK57" s="557"/>
      <c r="AL57" s="260"/>
      <c r="AM57" s="260"/>
      <c r="AN57" s="260"/>
      <c r="AO57" s="974"/>
      <c r="AP57" s="974"/>
      <c r="AQ57" s="974"/>
      <c r="AR57" s="974"/>
      <c r="AS57" s="974"/>
      <c r="AT57" s="974"/>
    </row>
    <row r="58" spans="1:46" x14ac:dyDescent="0.2">
      <c r="B58" s="562"/>
      <c r="C58" s="542"/>
      <c r="D58" s="542"/>
      <c r="E58" s="542"/>
      <c r="F58" s="542"/>
      <c r="G58" s="542"/>
      <c r="H58" s="542"/>
      <c r="I58" s="542"/>
      <c r="J58" s="542"/>
      <c r="K58" s="542"/>
      <c r="L58" s="542"/>
      <c r="M58" s="542"/>
      <c r="N58" s="542"/>
      <c r="O58" s="542"/>
      <c r="P58" s="542"/>
      <c r="Q58" s="542"/>
      <c r="R58" s="542"/>
      <c r="S58" s="542"/>
      <c r="T58" s="542"/>
      <c r="U58" s="542"/>
      <c r="V58" s="542"/>
      <c r="W58" s="542"/>
      <c r="X58" s="542"/>
      <c r="Y58" s="542"/>
      <c r="Z58" s="542"/>
      <c r="AA58" s="542"/>
      <c r="AB58" s="972"/>
      <c r="AC58" s="260"/>
      <c r="AD58" s="561"/>
      <c r="AE58" s="561"/>
      <c r="AF58" s="561"/>
      <c r="AG58" s="561"/>
      <c r="AH58" s="561"/>
      <c r="AI58" s="561"/>
      <c r="AJ58" s="561"/>
      <c r="AK58" s="561"/>
    </row>
    <row r="59" spans="1:46" x14ac:dyDescent="0.2">
      <c r="U59" s="564"/>
      <c r="W59" s="564"/>
      <c r="AC59" s="260"/>
    </row>
    <row r="60" spans="1:46" x14ac:dyDescent="0.2">
      <c r="U60" s="564"/>
      <c r="W60" s="564"/>
    </row>
    <row r="61" spans="1:46" x14ac:dyDescent="0.2">
      <c r="B61" s="565"/>
      <c r="C61" s="566" t="s">
        <v>24</v>
      </c>
      <c r="D61" s="567" t="str">
        <f>AB2</f>
        <v>XXXXXX</v>
      </c>
      <c r="AK61" s="1022"/>
    </row>
    <row r="62" spans="1:46" x14ac:dyDescent="0.2">
      <c r="B62" s="568"/>
      <c r="D62" s="569" t="str">
        <f>AB1</f>
        <v>P_CRSABIS_(01-09)</v>
      </c>
      <c r="AK62" s="1022"/>
    </row>
    <row r="63" spans="1:46" x14ac:dyDescent="0.2">
      <c r="B63" s="568"/>
      <c r="D63" s="570" t="str">
        <f>AB3</f>
        <v>DD.MM.YYYY</v>
      </c>
      <c r="AK63" s="1022"/>
      <c r="AL63" s="1023"/>
    </row>
    <row r="64" spans="1:46" x14ac:dyDescent="0.2">
      <c r="B64" s="571"/>
      <c r="D64" s="572" t="s">
        <v>23</v>
      </c>
    </row>
    <row r="65" spans="1:30" x14ac:dyDescent="0.2">
      <c r="B65" s="568"/>
      <c r="D65" s="569" t="str">
        <f>D13</f>
        <v>col. 01</v>
      </c>
    </row>
    <row r="66" spans="1:30" x14ac:dyDescent="0.2">
      <c r="B66" s="573"/>
      <c r="C66" s="312"/>
      <c r="D66" s="1000">
        <f>COUNTIF(D70:AA78,"ERROR")+COUNTIF(AE14:AL52,"ERROR")</f>
        <v>6</v>
      </c>
    </row>
    <row r="67" spans="1:30" x14ac:dyDescent="0.2">
      <c r="B67" s="541"/>
      <c r="C67" s="574"/>
      <c r="D67" s="10"/>
    </row>
    <row r="68" spans="1:30" x14ac:dyDescent="0.2">
      <c r="B68" s="541"/>
      <c r="C68" s="574"/>
      <c r="D68" s="7"/>
    </row>
    <row r="69" spans="1:30" x14ac:dyDescent="0.2">
      <c r="D69" s="989" t="s">
        <v>22</v>
      </c>
      <c r="E69" s="989" t="s">
        <v>21</v>
      </c>
      <c r="F69" s="989" t="s">
        <v>20</v>
      </c>
      <c r="G69" s="989" t="s">
        <v>19</v>
      </c>
      <c r="H69" s="989" t="s">
        <v>18</v>
      </c>
      <c r="I69" s="989" t="s">
        <v>17</v>
      </c>
      <c r="J69" s="989" t="s">
        <v>16</v>
      </c>
      <c r="K69" s="989" t="s">
        <v>15</v>
      </c>
      <c r="L69" s="989" t="s">
        <v>14</v>
      </c>
      <c r="M69" s="989" t="s">
        <v>13</v>
      </c>
      <c r="N69" s="989" t="s">
        <v>12</v>
      </c>
      <c r="O69" s="989" t="s">
        <v>11</v>
      </c>
      <c r="P69" s="989" t="s">
        <v>10</v>
      </c>
      <c r="Q69" s="989" t="s">
        <v>9</v>
      </c>
      <c r="R69" s="989" t="s">
        <v>8</v>
      </c>
      <c r="S69" s="989" t="s">
        <v>7</v>
      </c>
      <c r="T69" s="989" t="s">
        <v>6</v>
      </c>
      <c r="U69" s="989" t="s">
        <v>5</v>
      </c>
      <c r="V69" s="989" t="s">
        <v>1420</v>
      </c>
      <c r="W69" s="989" t="s">
        <v>1421</v>
      </c>
      <c r="X69" s="989" t="s">
        <v>1422</v>
      </c>
      <c r="Y69" s="989" t="s">
        <v>1423</v>
      </c>
      <c r="Z69" s="989" t="s">
        <v>1424</v>
      </c>
      <c r="AA69" s="989" t="s">
        <v>1425</v>
      </c>
      <c r="AC69" s="972"/>
      <c r="AD69" s="972"/>
    </row>
    <row r="70" spans="1:30" x14ac:dyDescent="0.2">
      <c r="B70" s="990" t="s">
        <v>1790</v>
      </c>
      <c r="C70" s="576"/>
      <c r="D70" s="710" t="str">
        <f>IF(ROUND(D17+D16+D18+D19+D20,0)=ROUND(D14,0),"OK","ERROR")</f>
        <v>ERROR</v>
      </c>
      <c r="E70" s="710" t="str">
        <f t="shared" ref="E70:AA70" si="59">IF(ROUND(E17+E16+E18+E19+E20,0)=ROUND(E14,0),"OK","ERROR")</f>
        <v>OK</v>
      </c>
      <c r="F70" s="710" t="str">
        <f t="shared" si="59"/>
        <v>ERROR</v>
      </c>
      <c r="G70" s="710" t="str">
        <f t="shared" si="59"/>
        <v>OK</v>
      </c>
      <c r="H70" s="710" t="str">
        <f t="shared" si="59"/>
        <v>OK</v>
      </c>
      <c r="I70" s="710" t="str">
        <f t="shared" si="59"/>
        <v>OK</v>
      </c>
      <c r="J70" s="710" t="str">
        <f t="shared" si="59"/>
        <v>OK</v>
      </c>
      <c r="K70" s="710" t="str">
        <f t="shared" si="59"/>
        <v>OK</v>
      </c>
      <c r="L70" s="710" t="str">
        <f t="shared" si="59"/>
        <v>OK</v>
      </c>
      <c r="M70" s="710" t="str">
        <f t="shared" si="59"/>
        <v>OK</v>
      </c>
      <c r="N70" s="710" t="str">
        <f t="shared" si="59"/>
        <v>OK</v>
      </c>
      <c r="O70" s="710" t="str">
        <f t="shared" si="59"/>
        <v>ERROR</v>
      </c>
      <c r="P70" s="710" t="str">
        <f t="shared" si="59"/>
        <v>OK</v>
      </c>
      <c r="Q70" s="710" t="str">
        <f t="shared" si="59"/>
        <v>OK</v>
      </c>
      <c r="R70" s="710" t="str">
        <f t="shared" si="59"/>
        <v>OK</v>
      </c>
      <c r="S70" s="710" t="str">
        <f t="shared" si="59"/>
        <v>OK</v>
      </c>
      <c r="T70" s="710" t="str">
        <f t="shared" si="59"/>
        <v>OK</v>
      </c>
      <c r="U70" s="710" t="str">
        <f t="shared" si="59"/>
        <v>ERROR</v>
      </c>
      <c r="V70" s="710" t="str">
        <f t="shared" si="59"/>
        <v>OK</v>
      </c>
      <c r="W70" s="710" t="str">
        <f t="shared" si="59"/>
        <v>ERROR</v>
      </c>
      <c r="X70" s="710" t="str">
        <f t="shared" si="59"/>
        <v>OK</v>
      </c>
      <c r="Y70" s="710" t="str">
        <f t="shared" si="59"/>
        <v>OK</v>
      </c>
      <c r="Z70" s="710" t="str">
        <f t="shared" si="59"/>
        <v>OK</v>
      </c>
      <c r="AA70" s="710" t="str">
        <f t="shared" si="59"/>
        <v>ERROR</v>
      </c>
      <c r="AC70" s="972"/>
      <c r="AD70" s="972"/>
    </row>
    <row r="71" spans="1:30" x14ac:dyDescent="0.2">
      <c r="B71" s="999" t="s">
        <v>1937</v>
      </c>
      <c r="C71" s="578"/>
      <c r="D71" s="577" t="str">
        <f>IF(ROUND(D27,0)&lt;=ROUND(D26,0),"OK","ERROR")</f>
        <v>OK</v>
      </c>
      <c r="E71" s="577" t="str">
        <f t="shared" ref="E71:AA71" si="60">IF(ROUND(E27,0)&lt;=ROUND(E26,0),"OK","ERROR")</f>
        <v>OK</v>
      </c>
      <c r="F71" s="577" t="str">
        <f t="shared" si="60"/>
        <v>OK</v>
      </c>
      <c r="G71" s="577" t="str">
        <f t="shared" si="60"/>
        <v>OK</v>
      </c>
      <c r="H71" s="577" t="str">
        <f t="shared" si="60"/>
        <v>OK</v>
      </c>
      <c r="I71" s="577" t="str">
        <f t="shared" si="60"/>
        <v>OK</v>
      </c>
      <c r="J71" s="577" t="str">
        <f t="shared" si="60"/>
        <v>OK</v>
      </c>
      <c r="K71" s="577" t="str">
        <f t="shared" si="60"/>
        <v>OK</v>
      </c>
      <c r="L71" s="577" t="str">
        <f t="shared" si="60"/>
        <v>OK</v>
      </c>
      <c r="M71" s="577" t="str">
        <f t="shared" si="60"/>
        <v>OK</v>
      </c>
      <c r="N71" s="577" t="str">
        <f t="shared" si="60"/>
        <v>OK</v>
      </c>
      <c r="O71" s="577" t="str">
        <f t="shared" si="60"/>
        <v>OK</v>
      </c>
      <c r="P71" s="577" t="str">
        <f t="shared" si="60"/>
        <v>OK</v>
      </c>
      <c r="Q71" s="577" t="str">
        <f t="shared" si="60"/>
        <v>OK</v>
      </c>
      <c r="R71" s="577" t="str">
        <f t="shared" si="60"/>
        <v>OK</v>
      </c>
      <c r="S71" s="577" t="str">
        <f t="shared" si="60"/>
        <v>OK</v>
      </c>
      <c r="T71" s="577" t="str">
        <f t="shared" si="60"/>
        <v>OK</v>
      </c>
      <c r="U71" s="577" t="str">
        <f t="shared" si="60"/>
        <v>OK</v>
      </c>
      <c r="V71" s="577" t="str">
        <f t="shared" si="60"/>
        <v>OK</v>
      </c>
      <c r="W71" s="577" t="str">
        <f t="shared" si="60"/>
        <v>OK</v>
      </c>
      <c r="X71" s="577" t="str">
        <f t="shared" si="60"/>
        <v>OK</v>
      </c>
      <c r="Y71" s="577" t="str">
        <f t="shared" si="60"/>
        <v>OK</v>
      </c>
      <c r="Z71" s="577" t="str">
        <f t="shared" si="60"/>
        <v>OK</v>
      </c>
      <c r="AA71" s="577" t="str">
        <f t="shared" si="60"/>
        <v>OK</v>
      </c>
      <c r="AC71" s="972"/>
      <c r="AD71" s="972"/>
    </row>
    <row r="72" spans="1:30" x14ac:dyDescent="0.2">
      <c r="B72" s="999" t="s">
        <v>1938</v>
      </c>
      <c r="C72" s="578"/>
      <c r="D72" s="577" t="str">
        <f>IF(ROUND(D34,0)&lt;=ROUND(D33,0),"OK","ERROR")</f>
        <v>OK</v>
      </c>
      <c r="E72" s="577" t="str">
        <f t="shared" ref="E72:AA72" si="61">IF(ROUND(E34,0)&lt;=ROUND(E33,0),"OK","ERROR")</f>
        <v>OK</v>
      </c>
      <c r="F72" s="577" t="str">
        <f t="shared" si="61"/>
        <v>OK</v>
      </c>
      <c r="G72" s="577" t="str">
        <f t="shared" si="61"/>
        <v>OK</v>
      </c>
      <c r="H72" s="577" t="str">
        <f t="shared" si="61"/>
        <v>OK</v>
      </c>
      <c r="I72" s="577" t="str">
        <f t="shared" si="61"/>
        <v>OK</v>
      </c>
      <c r="J72" s="577" t="str">
        <f t="shared" si="61"/>
        <v>OK</v>
      </c>
      <c r="K72" s="577" t="str">
        <f t="shared" si="61"/>
        <v>OK</v>
      </c>
      <c r="L72" s="577" t="str">
        <f t="shared" si="61"/>
        <v>OK</v>
      </c>
      <c r="M72" s="577" t="str">
        <f t="shared" si="61"/>
        <v>OK</v>
      </c>
      <c r="N72" s="577" t="str">
        <f t="shared" si="61"/>
        <v>OK</v>
      </c>
      <c r="O72" s="577" t="str">
        <f t="shared" si="61"/>
        <v>OK</v>
      </c>
      <c r="P72" s="577" t="str">
        <f t="shared" si="61"/>
        <v>OK</v>
      </c>
      <c r="Q72" s="577" t="str">
        <f t="shared" si="61"/>
        <v>OK</v>
      </c>
      <c r="R72" s="577" t="str">
        <f t="shared" si="61"/>
        <v>OK</v>
      </c>
      <c r="S72" s="577" t="str">
        <f t="shared" si="61"/>
        <v>OK</v>
      </c>
      <c r="T72" s="577" t="str">
        <f t="shared" si="61"/>
        <v>OK</v>
      </c>
      <c r="U72" s="577" t="str">
        <f t="shared" si="61"/>
        <v>OK</v>
      </c>
      <c r="V72" s="577" t="str">
        <f t="shared" si="61"/>
        <v>OK</v>
      </c>
      <c r="W72" s="577" t="str">
        <f t="shared" si="61"/>
        <v>OK</v>
      </c>
      <c r="X72" s="577" t="str">
        <f t="shared" si="61"/>
        <v>OK</v>
      </c>
      <c r="Y72" s="577" t="str">
        <f t="shared" si="61"/>
        <v>OK</v>
      </c>
      <c r="Z72" s="577" t="str">
        <f t="shared" si="61"/>
        <v>OK</v>
      </c>
      <c r="AA72" s="577" t="str">
        <f t="shared" si="61"/>
        <v>OK</v>
      </c>
      <c r="AC72" s="972"/>
      <c r="AD72" s="972"/>
    </row>
    <row r="73" spans="1:30" s="975" customFormat="1" x14ac:dyDescent="0.2">
      <c r="A73" s="997"/>
      <c r="B73" s="991" t="s">
        <v>1</v>
      </c>
      <c r="C73" s="992"/>
      <c r="D73" s="968" t="str">
        <f>IF(ROUND(D36,0)&lt;=ROUND(D35,0),"OK","ERROR")</f>
        <v>OK</v>
      </c>
      <c r="E73" s="968" t="str">
        <f>IF(ROUND(E36,0)&gt;=ROUND(E35,0),"OK","ERROR")</f>
        <v>OK</v>
      </c>
      <c r="F73" s="968" t="str">
        <f>IF(ROUND(F36,0)&lt;=ROUND(F35,0),"OK","ERROR")</f>
        <v>OK</v>
      </c>
      <c r="G73" s="968"/>
      <c r="H73" s="968" t="str">
        <f>IF(ROUND(H36,0)&lt;=ROUND(H35,0),"OK","ERROR")</f>
        <v>OK</v>
      </c>
      <c r="I73" s="968"/>
      <c r="J73" s="968" t="str">
        <f>IF(ROUND(J36,0)&lt;=ROUND(J35,0),"OK","ERROR")</f>
        <v>OK</v>
      </c>
      <c r="K73" s="968"/>
      <c r="L73" s="968" t="str">
        <f>IF(ROUND(L36,0)&lt;=ROUND(L35,0),"OK","ERROR")</f>
        <v>OK</v>
      </c>
      <c r="M73" s="968" t="str">
        <f>IF(ROUND(M36,0)&lt;=ROUND(M35,0),"OK","ERROR")</f>
        <v>OK</v>
      </c>
      <c r="N73" s="968"/>
      <c r="O73" s="968" t="str">
        <f>IF(ROUND(O36,0)&lt;=ROUND(O35,0),"OK","ERROR")</f>
        <v>OK</v>
      </c>
      <c r="P73" s="969"/>
      <c r="Q73" s="969"/>
      <c r="R73" s="969"/>
      <c r="S73" s="969"/>
      <c r="T73" s="969"/>
      <c r="U73" s="968" t="str">
        <f>IF(ROUND(U36,0)&lt;=ROUND(U35,0),"OK","ERROR")</f>
        <v>OK</v>
      </c>
      <c r="V73" s="969"/>
      <c r="W73" s="968" t="str">
        <f>IF(ROUND(W36,0)&lt;=ROUND(W35,0),"OK","ERROR")</f>
        <v>OK</v>
      </c>
      <c r="X73" s="968"/>
      <c r="Y73" s="968"/>
      <c r="Z73" s="968"/>
      <c r="AA73" s="968" t="str">
        <f>IF(ROUND(AA36,0)&lt;=ROUND(AA35,0),"OK","ERROR")</f>
        <v>OK</v>
      </c>
    </row>
    <row r="74" spans="1:30" x14ac:dyDescent="0.2">
      <c r="B74" s="993" t="s">
        <v>1780</v>
      </c>
      <c r="C74" s="994"/>
      <c r="D74" s="503" t="str">
        <f>IF(ROUND(D41,0)&lt;=ROUND(D40,0),"OK","ERROR")</f>
        <v>OK</v>
      </c>
      <c r="E74" s="503" t="str">
        <f t="shared" ref="E74:AA74" si="62">IF(ROUND(E41,0)&lt;=ROUND(E40,0),"OK","ERROR")</f>
        <v>OK</v>
      </c>
      <c r="F74" s="503" t="str">
        <f t="shared" si="62"/>
        <v>OK</v>
      </c>
      <c r="G74" s="503" t="str">
        <f t="shared" si="62"/>
        <v>OK</v>
      </c>
      <c r="H74" s="503" t="str">
        <f t="shared" si="62"/>
        <v>OK</v>
      </c>
      <c r="I74" s="503" t="str">
        <f t="shared" si="62"/>
        <v>OK</v>
      </c>
      <c r="J74" s="503" t="str">
        <f t="shared" si="62"/>
        <v>OK</v>
      </c>
      <c r="K74" s="503" t="str">
        <f t="shared" si="62"/>
        <v>OK</v>
      </c>
      <c r="L74" s="503" t="str">
        <f t="shared" si="62"/>
        <v>OK</v>
      </c>
      <c r="M74" s="503" t="str">
        <f t="shared" si="62"/>
        <v>OK</v>
      </c>
      <c r="N74" s="503" t="str">
        <f t="shared" si="62"/>
        <v>OK</v>
      </c>
      <c r="O74" s="503" t="str">
        <f t="shared" si="62"/>
        <v>OK</v>
      </c>
      <c r="P74" s="503" t="str">
        <f t="shared" si="62"/>
        <v>OK</v>
      </c>
      <c r="Q74" s="503" t="str">
        <f t="shared" si="62"/>
        <v>OK</v>
      </c>
      <c r="R74" s="503" t="str">
        <f t="shared" si="62"/>
        <v>OK</v>
      </c>
      <c r="S74" s="503" t="str">
        <f t="shared" si="62"/>
        <v>OK</v>
      </c>
      <c r="T74" s="503" t="str">
        <f t="shared" si="62"/>
        <v>OK</v>
      </c>
      <c r="U74" s="503" t="str">
        <f t="shared" si="62"/>
        <v>OK</v>
      </c>
      <c r="V74" s="503" t="str">
        <f t="shared" si="62"/>
        <v>OK</v>
      </c>
      <c r="W74" s="503" t="str">
        <f t="shared" si="62"/>
        <v>OK</v>
      </c>
      <c r="X74" s="503" t="str">
        <f t="shared" si="62"/>
        <v>OK</v>
      </c>
      <c r="Y74" s="503" t="str">
        <f t="shared" si="62"/>
        <v>OK</v>
      </c>
      <c r="Z74" s="503" t="str">
        <f t="shared" si="62"/>
        <v>OK</v>
      </c>
      <c r="AA74" s="503" t="str">
        <f t="shared" si="62"/>
        <v>OK</v>
      </c>
      <c r="AC74" s="972"/>
      <c r="AD74" s="972"/>
    </row>
    <row r="75" spans="1:30" x14ac:dyDescent="0.2">
      <c r="B75" s="993" t="s">
        <v>1939</v>
      </c>
      <c r="C75" s="994"/>
      <c r="D75" s="503" t="str">
        <f>IF(ROUND(D43,0)&lt;=ROUND(D40,0),"OK","ERROR")</f>
        <v>OK</v>
      </c>
      <c r="E75" s="503" t="str">
        <f t="shared" ref="E75:AA75" si="63">IF(ROUND(E43,0)&lt;=ROUND(E40,0),"OK","ERROR")</f>
        <v>OK</v>
      </c>
      <c r="F75" s="503" t="str">
        <f t="shared" si="63"/>
        <v>OK</v>
      </c>
      <c r="G75" s="503" t="str">
        <f t="shared" si="63"/>
        <v>OK</v>
      </c>
      <c r="H75" s="503" t="str">
        <f t="shared" si="63"/>
        <v>OK</v>
      </c>
      <c r="I75" s="503" t="str">
        <f t="shared" si="63"/>
        <v>OK</v>
      </c>
      <c r="J75" s="503" t="str">
        <f t="shared" si="63"/>
        <v>OK</v>
      </c>
      <c r="K75" s="503" t="str">
        <f t="shared" si="63"/>
        <v>OK</v>
      </c>
      <c r="L75" s="503" t="str">
        <f t="shared" si="63"/>
        <v>OK</v>
      </c>
      <c r="M75" s="503" t="str">
        <f t="shared" si="63"/>
        <v>OK</v>
      </c>
      <c r="N75" s="503" t="str">
        <f t="shared" si="63"/>
        <v>OK</v>
      </c>
      <c r="O75" s="503" t="str">
        <f t="shared" si="63"/>
        <v>OK</v>
      </c>
      <c r="P75" s="503" t="str">
        <f t="shared" si="63"/>
        <v>OK</v>
      </c>
      <c r="Q75" s="503" t="str">
        <f t="shared" si="63"/>
        <v>OK</v>
      </c>
      <c r="R75" s="503" t="str">
        <f t="shared" si="63"/>
        <v>OK</v>
      </c>
      <c r="S75" s="503" t="str">
        <f t="shared" si="63"/>
        <v>OK</v>
      </c>
      <c r="T75" s="503" t="str">
        <f t="shared" si="63"/>
        <v>OK</v>
      </c>
      <c r="U75" s="503" t="str">
        <f t="shared" si="63"/>
        <v>OK</v>
      </c>
      <c r="V75" s="503" t="str">
        <f t="shared" si="63"/>
        <v>OK</v>
      </c>
      <c r="W75" s="503" t="str">
        <f t="shared" si="63"/>
        <v>OK</v>
      </c>
      <c r="X75" s="503" t="str">
        <f t="shared" si="63"/>
        <v>OK</v>
      </c>
      <c r="Y75" s="503" t="str">
        <f t="shared" si="63"/>
        <v>OK</v>
      </c>
      <c r="Z75" s="503" t="str">
        <f t="shared" si="63"/>
        <v>OK</v>
      </c>
      <c r="AA75" s="503" t="str">
        <f t="shared" si="63"/>
        <v>OK</v>
      </c>
      <c r="AC75" s="972"/>
      <c r="AD75" s="972"/>
    </row>
    <row r="76" spans="1:30" x14ac:dyDescent="0.2">
      <c r="B76" s="998" t="s">
        <v>1940</v>
      </c>
      <c r="C76" s="578"/>
      <c r="D76" s="577" t="str">
        <f>IF(ROUND(D46,0)&lt;=ROUND(D45,0),"OK","ERROR")</f>
        <v>OK</v>
      </c>
      <c r="E76" s="577" t="str">
        <f>IF(ROUND(E46,0)&gt;=ROUND(E45,0),"OK","ERROR")</f>
        <v>OK</v>
      </c>
      <c r="F76" s="577" t="str">
        <f t="shared" ref="F76:O76" si="64">IF(ROUND(F46,0)&lt;=ROUND(F45,0),"OK","ERROR")</f>
        <v>OK</v>
      </c>
      <c r="G76" s="577"/>
      <c r="H76" s="577" t="str">
        <f t="shared" si="64"/>
        <v>OK</v>
      </c>
      <c r="I76" s="577"/>
      <c r="J76" s="577" t="str">
        <f t="shared" si="64"/>
        <v>OK</v>
      </c>
      <c r="K76" s="577"/>
      <c r="L76" s="577" t="str">
        <f t="shared" si="64"/>
        <v>OK</v>
      </c>
      <c r="M76" s="577" t="str">
        <f t="shared" si="64"/>
        <v>OK</v>
      </c>
      <c r="N76" s="577"/>
      <c r="O76" s="577" t="str">
        <f t="shared" si="64"/>
        <v>OK</v>
      </c>
      <c r="P76" s="542"/>
      <c r="Q76" s="542"/>
      <c r="R76" s="542"/>
      <c r="S76" s="542"/>
      <c r="T76" s="542"/>
      <c r="U76" s="577" t="str">
        <f>IF(ROUND(U46,0)&lt;=ROUND(U45,0),"OK","ERROR")</f>
        <v>OK</v>
      </c>
      <c r="V76" s="542"/>
      <c r="W76" s="577" t="str">
        <f>IF(ROUND(W46,0)&lt;=ROUND(W45,0),"OK","ERROR")</f>
        <v>OK</v>
      </c>
      <c r="X76" s="577"/>
      <c r="Y76" s="577"/>
      <c r="Z76" s="577"/>
      <c r="AA76" s="577" t="str">
        <f>IF(ROUND(AA46,0)&lt;=ROUND(AA45,0),"OK","ERROR")</f>
        <v>OK</v>
      </c>
      <c r="AC76" s="972"/>
      <c r="AD76" s="972"/>
    </row>
    <row r="77" spans="1:30" x14ac:dyDescent="0.2">
      <c r="B77" s="993" t="s">
        <v>1941</v>
      </c>
      <c r="C77" s="994"/>
      <c r="D77" s="503" t="str">
        <f>IF(ROUND(D49,0)&lt;=ROUND(D48,0),"OK","ERROR")</f>
        <v>OK</v>
      </c>
      <c r="E77" s="503" t="str">
        <f t="shared" ref="E77:AA77" si="65">IF(ROUND(E49,0)&lt;=ROUND(E48,0),"OK","ERROR")</f>
        <v>OK</v>
      </c>
      <c r="F77" s="503" t="str">
        <f t="shared" si="65"/>
        <v>OK</v>
      </c>
      <c r="G77" s="503" t="str">
        <f t="shared" si="65"/>
        <v>OK</v>
      </c>
      <c r="H77" s="503" t="str">
        <f t="shared" si="65"/>
        <v>OK</v>
      </c>
      <c r="I77" s="503" t="str">
        <f t="shared" si="65"/>
        <v>OK</v>
      </c>
      <c r="J77" s="503" t="str">
        <f t="shared" si="65"/>
        <v>OK</v>
      </c>
      <c r="K77" s="503" t="str">
        <f t="shared" si="65"/>
        <v>OK</v>
      </c>
      <c r="L77" s="503" t="str">
        <f t="shared" si="65"/>
        <v>OK</v>
      </c>
      <c r="M77" s="503" t="str">
        <f t="shared" si="65"/>
        <v>OK</v>
      </c>
      <c r="N77" s="503" t="str">
        <f t="shared" si="65"/>
        <v>OK</v>
      </c>
      <c r="O77" s="503" t="str">
        <f t="shared" si="65"/>
        <v>OK</v>
      </c>
      <c r="P77" s="503" t="str">
        <f t="shared" si="65"/>
        <v>OK</v>
      </c>
      <c r="Q77" s="503" t="str">
        <f t="shared" si="65"/>
        <v>OK</v>
      </c>
      <c r="R77" s="503" t="str">
        <f t="shared" si="65"/>
        <v>OK</v>
      </c>
      <c r="S77" s="503" t="str">
        <f t="shared" si="65"/>
        <v>OK</v>
      </c>
      <c r="T77" s="503" t="str">
        <f t="shared" si="65"/>
        <v>OK</v>
      </c>
      <c r="U77" s="503" t="str">
        <f t="shared" si="65"/>
        <v>OK</v>
      </c>
      <c r="V77" s="503" t="str">
        <f t="shared" si="65"/>
        <v>OK</v>
      </c>
      <c r="W77" s="503" t="str">
        <f t="shared" si="65"/>
        <v>OK</v>
      </c>
      <c r="X77" s="503" t="str">
        <f t="shared" si="65"/>
        <v>OK</v>
      </c>
      <c r="Y77" s="503" t="str">
        <f t="shared" si="65"/>
        <v>OK</v>
      </c>
      <c r="Z77" s="503" t="str">
        <f t="shared" si="65"/>
        <v>OK</v>
      </c>
      <c r="AA77" s="503" t="str">
        <f t="shared" si="65"/>
        <v>OK</v>
      </c>
      <c r="AC77" s="972"/>
      <c r="AD77" s="972"/>
    </row>
    <row r="78" spans="1:30" x14ac:dyDescent="0.2">
      <c r="B78" s="993" t="s">
        <v>1942</v>
      </c>
      <c r="C78" s="994"/>
      <c r="D78" s="503" t="str">
        <f>IF(ROUND(D51,0)&lt;=ROUND(D50,0),"OK","ERROR")</f>
        <v>OK</v>
      </c>
      <c r="E78" s="503" t="str">
        <f t="shared" ref="E78:AA78" si="66">IF(ROUND(E51,0)&lt;=ROUND(E50,0),"OK","ERROR")</f>
        <v>OK</v>
      </c>
      <c r="F78" s="503" t="str">
        <f t="shared" si="66"/>
        <v>OK</v>
      </c>
      <c r="G78" s="503" t="str">
        <f t="shared" si="66"/>
        <v>OK</v>
      </c>
      <c r="H78" s="503" t="str">
        <f t="shared" si="66"/>
        <v>OK</v>
      </c>
      <c r="I78" s="503" t="str">
        <f t="shared" si="66"/>
        <v>OK</v>
      </c>
      <c r="J78" s="503" t="str">
        <f t="shared" si="66"/>
        <v>OK</v>
      </c>
      <c r="K78" s="503" t="str">
        <f t="shared" si="66"/>
        <v>OK</v>
      </c>
      <c r="L78" s="503" t="str">
        <f t="shared" si="66"/>
        <v>OK</v>
      </c>
      <c r="M78" s="503" t="str">
        <f t="shared" si="66"/>
        <v>OK</v>
      </c>
      <c r="N78" s="503" t="str">
        <f t="shared" si="66"/>
        <v>OK</v>
      </c>
      <c r="O78" s="503" t="str">
        <f t="shared" si="66"/>
        <v>OK</v>
      </c>
      <c r="P78" s="503" t="str">
        <f t="shared" si="66"/>
        <v>OK</v>
      </c>
      <c r="Q78" s="503" t="str">
        <f t="shared" si="66"/>
        <v>OK</v>
      </c>
      <c r="R78" s="503" t="str">
        <f t="shared" si="66"/>
        <v>OK</v>
      </c>
      <c r="S78" s="503" t="str">
        <f t="shared" si="66"/>
        <v>OK</v>
      </c>
      <c r="T78" s="503" t="str">
        <f t="shared" si="66"/>
        <v>OK</v>
      </c>
      <c r="U78" s="503" t="str">
        <f t="shared" si="66"/>
        <v>OK</v>
      </c>
      <c r="V78" s="503" t="str">
        <f t="shared" si="66"/>
        <v>OK</v>
      </c>
      <c r="W78" s="503" t="str">
        <f t="shared" si="66"/>
        <v>OK</v>
      </c>
      <c r="X78" s="503" t="str">
        <f t="shared" si="66"/>
        <v>OK</v>
      </c>
      <c r="Y78" s="503" t="str">
        <f t="shared" si="66"/>
        <v>OK</v>
      </c>
      <c r="Z78" s="503" t="str">
        <f t="shared" si="66"/>
        <v>OK</v>
      </c>
      <c r="AA78" s="503" t="str">
        <f t="shared" si="66"/>
        <v>OK</v>
      </c>
      <c r="AC78" s="972"/>
      <c r="AD78" s="972"/>
    </row>
  </sheetData>
  <mergeCells count="3">
    <mergeCell ref="AB8:AB12"/>
    <mergeCell ref="P9:S9"/>
    <mergeCell ref="P8:T8"/>
  </mergeCells>
  <conditionalFormatting sqref="D34">
    <cfRule type="cellIs" dxfId="12" priority="2" stopIfTrue="1" operator="equal">
      <formula>$D$70="ERROR"</formula>
    </cfRule>
  </conditionalFormatting>
  <printOptions gridLines="1" gridLinesSet="0"/>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colBreaks count="1" manualBreakCount="1">
    <brk id="15" max="34"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FF0000"/>
  </sheetPr>
  <dimension ref="A1:AF55"/>
  <sheetViews>
    <sheetView workbookViewId="0"/>
  </sheetViews>
  <sheetFormatPr defaultColWidth="11.42578125" defaultRowHeight="12.75" x14ac:dyDescent="0.2"/>
  <cols>
    <col min="1" max="1" width="8.42578125" style="1" customWidth="1"/>
    <col min="2" max="2" width="39.42578125" style="1" customWidth="1"/>
    <col min="3" max="3" width="4.5703125" style="1" customWidth="1"/>
    <col min="4" max="6" width="20.42578125" style="1" customWidth="1"/>
    <col min="7" max="7" width="15.5703125" style="1" customWidth="1"/>
    <col min="8" max="8" width="16.42578125" style="1" customWidth="1"/>
    <col min="9" max="9" width="15.5703125" style="1" customWidth="1"/>
    <col min="10" max="10" width="17.5703125" style="1" customWidth="1"/>
    <col min="11" max="11" width="24.5703125" style="1" customWidth="1"/>
    <col min="12" max="16" width="17.5703125" style="1" customWidth="1"/>
    <col min="17" max="20" width="20.42578125" style="1" customWidth="1"/>
    <col min="21" max="21" width="24.5703125" style="1" customWidth="1"/>
    <col min="22" max="22" width="4.5703125" style="1" customWidth="1"/>
    <col min="23" max="25" width="11.42578125" style="1" customWidth="1"/>
    <col min="26" max="26" width="21.5703125" style="1" customWidth="1"/>
    <col min="27" max="30" width="11.42578125" style="1" customWidth="1"/>
    <col min="31" max="31" width="21.5703125" style="1" customWidth="1"/>
    <col min="32" max="16384" width="11.42578125" style="1"/>
  </cols>
  <sheetData>
    <row r="1" spans="1:31" ht="25.35" customHeight="1" x14ac:dyDescent="0.25">
      <c r="A1" s="9"/>
      <c r="B1" s="9"/>
      <c r="C1" s="9"/>
      <c r="E1" s="78" t="s">
        <v>101</v>
      </c>
      <c r="G1" s="41"/>
      <c r="H1" s="41"/>
      <c r="I1" s="41"/>
      <c r="J1" s="101" t="s">
        <v>100</v>
      </c>
      <c r="K1" s="105" t="s">
        <v>102</v>
      </c>
      <c r="L1" s="41"/>
      <c r="M1" s="78" t="s">
        <v>101</v>
      </c>
      <c r="N1" s="41"/>
      <c r="O1" s="41"/>
      <c r="P1" s="41"/>
      <c r="Q1" s="41"/>
      <c r="R1" s="41"/>
      <c r="S1" s="41"/>
      <c r="T1" s="101" t="s">
        <v>100</v>
      </c>
      <c r="U1" s="105" t="str">
        <f>K1</f>
        <v>P_CRSABIS_01</v>
      </c>
      <c r="V1" s="41"/>
    </row>
    <row r="2" spans="1:31" ht="25.35" customHeight="1" x14ac:dyDescent="0.25">
      <c r="A2" s="9"/>
      <c r="B2" s="41"/>
      <c r="C2" s="9"/>
      <c r="E2" s="104" t="s">
        <v>99</v>
      </c>
      <c r="G2" s="41"/>
      <c r="H2" s="41"/>
      <c r="I2"/>
      <c r="J2" s="101" t="s">
        <v>98</v>
      </c>
      <c r="K2" s="103" t="s">
        <v>119</v>
      </c>
      <c r="L2" s="41"/>
      <c r="M2" s="104" t="s">
        <v>99</v>
      </c>
      <c r="N2" s="9"/>
      <c r="O2" s="41"/>
      <c r="P2" s="41"/>
      <c r="Q2" s="41"/>
      <c r="R2" s="41"/>
      <c r="S2" s="41"/>
      <c r="T2" s="101" t="s">
        <v>98</v>
      </c>
      <c r="U2" s="103" t="str">
        <f>K2</f>
        <v>XXXXXX</v>
      </c>
      <c r="V2" s="41"/>
    </row>
    <row r="3" spans="1:31" ht="25.35" customHeight="1" x14ac:dyDescent="0.25">
      <c r="A3" s="9"/>
      <c r="B3" s="41"/>
      <c r="C3" s="9"/>
      <c r="E3" s="102" t="s">
        <v>97</v>
      </c>
      <c r="G3" s="41"/>
      <c r="I3"/>
      <c r="J3" s="101" t="s">
        <v>96</v>
      </c>
      <c r="K3" s="100" t="s">
        <v>121</v>
      </c>
      <c r="L3" s="41"/>
      <c r="M3" s="102" t="s">
        <v>97</v>
      </c>
      <c r="N3" s="9"/>
      <c r="O3" s="41"/>
      <c r="P3" s="41"/>
      <c r="Q3" s="41"/>
      <c r="R3" s="41"/>
      <c r="S3" s="41"/>
      <c r="T3" s="101" t="s">
        <v>96</v>
      </c>
      <c r="U3" s="100" t="str">
        <f>K3</f>
        <v>DD.MM.YYYY</v>
      </c>
      <c r="V3" s="41"/>
    </row>
    <row r="4" spans="1:31" ht="25.35" customHeight="1" x14ac:dyDescent="0.25">
      <c r="A4" s="9"/>
      <c r="B4" s="41"/>
      <c r="C4" s="9"/>
      <c r="E4" s="97" t="s">
        <v>95</v>
      </c>
      <c r="H4" s="41"/>
      <c r="I4"/>
      <c r="J4" s="99"/>
      <c r="K4" s="98"/>
      <c r="L4" s="41"/>
      <c r="M4" s="97" t="s">
        <v>95</v>
      </c>
      <c r="N4" s="41"/>
      <c r="O4" s="41"/>
      <c r="P4" s="41"/>
      <c r="Q4" s="41"/>
      <c r="R4" s="41"/>
      <c r="S4" s="41"/>
      <c r="T4" s="41"/>
      <c r="U4" s="41"/>
      <c r="V4" s="41"/>
    </row>
    <row r="5" spans="1:31" ht="25.35" customHeight="1" x14ac:dyDescent="0.2">
      <c r="A5" s="9"/>
      <c r="B5" s="41"/>
      <c r="C5" s="9"/>
      <c r="E5" s="1" t="s">
        <v>94</v>
      </c>
      <c r="F5" s="41"/>
      <c r="G5" s="41"/>
      <c r="H5" s="41"/>
      <c r="I5" s="41"/>
      <c r="J5" s="41"/>
      <c r="K5" s="41"/>
      <c r="L5" s="41"/>
      <c r="M5" s="1" t="s">
        <v>94</v>
      </c>
      <c r="N5" s="41"/>
      <c r="O5" s="41"/>
      <c r="P5" s="41"/>
      <c r="Q5" s="41"/>
      <c r="R5" s="41"/>
      <c r="S5" s="41"/>
      <c r="T5" s="41"/>
      <c r="U5" s="41"/>
      <c r="V5" s="41"/>
    </row>
    <row r="6" spans="1:31" ht="25.35" customHeight="1" x14ac:dyDescent="0.2">
      <c r="A6" s="9"/>
      <c r="B6" s="41"/>
      <c r="C6" s="9"/>
      <c r="D6" s="9"/>
    </row>
    <row r="7" spans="1:31" ht="25.35" customHeight="1" x14ac:dyDescent="0.2">
      <c r="A7" s="12"/>
      <c r="B7" s="41"/>
      <c r="C7" s="12"/>
      <c r="D7" s="12"/>
      <c r="F7" s="41"/>
      <c r="G7" s="41"/>
      <c r="H7" s="41"/>
      <c r="I7" s="41"/>
      <c r="J7" s="60"/>
      <c r="K7" s="60"/>
      <c r="L7" s="41"/>
      <c r="N7" s="60"/>
      <c r="O7" s="41"/>
      <c r="P7" s="41"/>
      <c r="Q7" s="41"/>
      <c r="R7" s="41"/>
      <c r="S7" s="41"/>
      <c r="T7" s="41"/>
      <c r="U7" s="41"/>
      <c r="V7" s="60"/>
    </row>
    <row r="8" spans="1:31" ht="17.850000000000001" customHeight="1" x14ac:dyDescent="0.25">
      <c r="A8" s="96"/>
      <c r="B8" s="95"/>
      <c r="C8" s="88"/>
      <c r="D8" s="94" t="s">
        <v>93</v>
      </c>
      <c r="E8" s="94" t="s">
        <v>92</v>
      </c>
      <c r="F8" s="93" t="s">
        <v>90</v>
      </c>
      <c r="G8" s="81" t="s">
        <v>91</v>
      </c>
      <c r="H8" s="82"/>
      <c r="I8" s="82"/>
      <c r="J8" s="92"/>
      <c r="K8" s="80" t="s">
        <v>90</v>
      </c>
      <c r="L8" s="82" t="s">
        <v>89</v>
      </c>
      <c r="M8" s="91"/>
      <c r="N8" s="91"/>
      <c r="O8" s="91"/>
      <c r="P8" s="80"/>
      <c r="Q8" s="90" t="s">
        <v>88</v>
      </c>
      <c r="R8" s="90" t="s">
        <v>87</v>
      </c>
      <c r="S8" s="90" t="s">
        <v>86</v>
      </c>
      <c r="T8" s="89" t="s">
        <v>85</v>
      </c>
      <c r="U8" s="1676" t="s">
        <v>84</v>
      </c>
      <c r="V8" s="88"/>
      <c r="W8" s="71"/>
      <c r="X8" s="71"/>
      <c r="Y8" s="9"/>
      <c r="Z8" s="9"/>
    </row>
    <row r="9" spans="1:31" ht="17.850000000000001" customHeight="1" x14ac:dyDescent="0.25">
      <c r="A9" s="79"/>
      <c r="B9" s="78"/>
      <c r="C9" s="62"/>
      <c r="D9" s="77" t="s">
        <v>83</v>
      </c>
      <c r="E9" s="77" t="s">
        <v>82</v>
      </c>
      <c r="F9" s="70" t="s">
        <v>80</v>
      </c>
      <c r="G9" s="85" t="s">
        <v>81</v>
      </c>
      <c r="H9" s="87"/>
      <c r="I9" s="87"/>
      <c r="J9" s="66"/>
      <c r="K9" s="66" t="s">
        <v>80</v>
      </c>
      <c r="L9" s="86"/>
      <c r="M9" s="86"/>
      <c r="N9" s="86"/>
      <c r="O9" s="75"/>
      <c r="P9" s="72"/>
      <c r="Q9" s="63" t="s">
        <v>79</v>
      </c>
      <c r="R9" s="63" t="s">
        <v>78</v>
      </c>
      <c r="S9" s="63" t="s">
        <v>77</v>
      </c>
      <c r="T9" s="77" t="s">
        <v>76</v>
      </c>
      <c r="U9" s="1677"/>
      <c r="V9" s="62"/>
      <c r="W9" s="71"/>
      <c r="X9" s="71"/>
      <c r="Y9" s="9"/>
      <c r="Z9" s="9"/>
    </row>
    <row r="10" spans="1:31" ht="17.850000000000001" customHeight="1" x14ac:dyDescent="0.25">
      <c r="A10" s="79"/>
      <c r="B10" s="78"/>
      <c r="C10" s="62"/>
      <c r="D10" s="77" t="s">
        <v>75</v>
      </c>
      <c r="E10" s="77" t="s">
        <v>74</v>
      </c>
      <c r="F10" s="70" t="s">
        <v>73</v>
      </c>
      <c r="G10" s="85"/>
      <c r="H10" s="84"/>
      <c r="I10" s="84"/>
      <c r="J10" s="83"/>
      <c r="K10" s="66" t="s">
        <v>72</v>
      </c>
      <c r="L10" s="82" t="s">
        <v>71</v>
      </c>
      <c r="M10" s="80"/>
      <c r="N10" s="66" t="s">
        <v>70</v>
      </c>
      <c r="O10" s="81" t="s">
        <v>69</v>
      </c>
      <c r="P10" s="80"/>
      <c r="Q10" s="63" t="s">
        <v>68</v>
      </c>
      <c r="R10" s="63" t="s">
        <v>67</v>
      </c>
      <c r="S10" s="63" t="s">
        <v>66</v>
      </c>
      <c r="T10" s="63"/>
      <c r="U10" s="1677"/>
      <c r="V10" s="62"/>
      <c r="W10" s="71"/>
      <c r="X10" s="71"/>
      <c r="Y10" s="9"/>
      <c r="Z10" s="9"/>
    </row>
    <row r="11" spans="1:31" ht="17.850000000000001" customHeight="1" x14ac:dyDescent="0.25">
      <c r="A11" s="79"/>
      <c r="B11" s="78"/>
      <c r="C11" s="62"/>
      <c r="D11" s="77"/>
      <c r="E11" s="77" t="s">
        <v>65</v>
      </c>
      <c r="F11" s="70" t="s">
        <v>64</v>
      </c>
      <c r="G11" s="76"/>
      <c r="H11" s="75"/>
      <c r="I11" s="74"/>
      <c r="J11" s="72"/>
      <c r="K11" s="66" t="s">
        <v>63</v>
      </c>
      <c r="L11" s="74" t="s">
        <v>62</v>
      </c>
      <c r="M11" s="72"/>
      <c r="N11" s="72" t="s">
        <v>61</v>
      </c>
      <c r="O11" s="73" t="s">
        <v>60</v>
      </c>
      <c r="P11" s="72"/>
      <c r="Q11" s="63" t="s">
        <v>59</v>
      </c>
      <c r="R11" s="63" t="s">
        <v>58</v>
      </c>
      <c r="T11" s="63"/>
      <c r="U11" s="1677"/>
      <c r="V11" s="62"/>
      <c r="W11" s="71"/>
      <c r="X11" s="71"/>
      <c r="Y11" s="9"/>
      <c r="Z11" s="9"/>
    </row>
    <row r="12" spans="1:31" ht="85.35" customHeight="1" x14ac:dyDescent="0.2">
      <c r="A12" s="9"/>
      <c r="B12" s="9"/>
      <c r="C12" s="62"/>
      <c r="D12" s="63"/>
      <c r="E12" s="63" t="s">
        <v>57</v>
      </c>
      <c r="F12" s="70" t="s">
        <v>56</v>
      </c>
      <c r="G12" s="69" t="s">
        <v>34</v>
      </c>
      <c r="H12" s="67">
        <v>0.2</v>
      </c>
      <c r="I12" s="68">
        <v>0.5</v>
      </c>
      <c r="J12" s="67">
        <v>1</v>
      </c>
      <c r="K12" s="66" t="s">
        <v>55</v>
      </c>
      <c r="L12" s="65" t="s">
        <v>54</v>
      </c>
      <c r="M12" s="64" t="s">
        <v>53</v>
      </c>
      <c r="N12" s="64" t="s">
        <v>52</v>
      </c>
      <c r="O12" s="63" t="s">
        <v>51</v>
      </c>
      <c r="P12" s="63" t="s">
        <v>50</v>
      </c>
      <c r="Q12" s="63" t="s">
        <v>49</v>
      </c>
      <c r="R12" s="63" t="s">
        <v>48</v>
      </c>
      <c r="S12" s="63"/>
      <c r="T12" s="63"/>
      <c r="U12" s="1677"/>
      <c r="V12" s="62"/>
      <c r="W12" s="61"/>
      <c r="X12" s="61"/>
      <c r="Y12" s="61"/>
      <c r="Z12" s="61"/>
    </row>
    <row r="13" spans="1:31" ht="25.35" customHeight="1" x14ac:dyDescent="0.2">
      <c r="A13" s="41"/>
      <c r="B13" s="60"/>
      <c r="C13" s="58"/>
      <c r="D13" s="59" t="s">
        <v>22</v>
      </c>
      <c r="E13" s="59" t="s">
        <v>21</v>
      </c>
      <c r="F13" s="59" t="s">
        <v>20</v>
      </c>
      <c r="G13" s="59" t="s">
        <v>19</v>
      </c>
      <c r="H13" s="59" t="s">
        <v>18</v>
      </c>
      <c r="I13" s="59" t="s">
        <v>17</v>
      </c>
      <c r="J13" s="59" t="s">
        <v>16</v>
      </c>
      <c r="K13" s="59" t="s">
        <v>15</v>
      </c>
      <c r="L13" s="59" t="s">
        <v>14</v>
      </c>
      <c r="M13" s="59" t="s">
        <v>13</v>
      </c>
      <c r="N13" s="59" t="s">
        <v>12</v>
      </c>
      <c r="O13" s="59" t="s">
        <v>11</v>
      </c>
      <c r="P13" s="59" t="s">
        <v>10</v>
      </c>
      <c r="Q13" s="59" t="s">
        <v>9</v>
      </c>
      <c r="R13" s="59" t="s">
        <v>8</v>
      </c>
      <c r="S13" s="59" t="s">
        <v>7</v>
      </c>
      <c r="T13" s="59" t="s">
        <v>6</v>
      </c>
      <c r="U13" s="59" t="s">
        <v>5</v>
      </c>
      <c r="V13" s="58"/>
      <c r="X13" s="9" t="s">
        <v>47</v>
      </c>
      <c r="Y13" s="9" t="s">
        <v>46</v>
      </c>
      <c r="Z13" s="9" t="s">
        <v>45</v>
      </c>
      <c r="AA13" s="9" t="s">
        <v>44</v>
      </c>
      <c r="AB13" s="9" t="s">
        <v>43</v>
      </c>
      <c r="AC13" s="9" t="s">
        <v>42</v>
      </c>
      <c r="AD13" s="9" t="s">
        <v>41</v>
      </c>
      <c r="AE13" s="9" t="s">
        <v>40</v>
      </c>
    </row>
    <row r="14" spans="1:31" ht="25.35" customHeight="1" thickBot="1" x14ac:dyDescent="0.25">
      <c r="A14" s="57"/>
      <c r="B14" s="56" t="s">
        <v>39</v>
      </c>
      <c r="C14" s="31">
        <v>1</v>
      </c>
      <c r="D14" s="32">
        <f>SUM(D19:D21,D23:D24,D26,D28,D32,D34)</f>
        <v>95460000</v>
      </c>
      <c r="E14" s="32">
        <f>SUM(E19:E21,E23:E24,E26,E28,E32,E34)</f>
        <v>0</v>
      </c>
      <c r="F14" s="32">
        <f>D14+E14</f>
        <v>95460000</v>
      </c>
      <c r="G14" s="32">
        <f>SUM(G19:G21,G23:G24,G26,G28,G32,G34)</f>
        <v>40000</v>
      </c>
      <c r="H14" s="32">
        <f>SUM(H19:H21,H23:H24,H26,H28,H32,H34)</f>
        <v>0</v>
      </c>
      <c r="I14" s="32">
        <f>SUM(I19:I21,I23:I24,I26,I28,I32,I34)</f>
        <v>0</v>
      </c>
      <c r="J14" s="32">
        <f>SUM(J19:J21,J23:J24,J26,J28,J32,J34)</f>
        <v>0</v>
      </c>
      <c r="K14" s="55">
        <f>F14-G14-0.8*H14-0.5*I14</f>
        <v>95420000</v>
      </c>
      <c r="L14" s="54"/>
      <c r="M14" s="33"/>
      <c r="N14" s="37"/>
      <c r="O14" s="32">
        <f>(L14+M14+N14)*-1</f>
        <v>0</v>
      </c>
      <c r="P14" s="33"/>
      <c r="Q14" s="32">
        <f>SUM(Q19:Q21,Q23:Q24,Q26,Q28,Q32,Q34)</f>
        <v>95420000</v>
      </c>
      <c r="R14" s="33"/>
      <c r="S14" s="32">
        <f>SUM(S19:S21,S23:S24,S26,S28,S32,S34)</f>
        <v>95220000</v>
      </c>
      <c r="T14" s="32">
        <f>SUM(T19:T21,T23:T24,T26,T28,T32,T34)</f>
        <v>239000</v>
      </c>
      <c r="U14" s="32">
        <f>T14*0.08</f>
        <v>19120</v>
      </c>
      <c r="V14" s="31">
        <v>1</v>
      </c>
      <c r="W14" s="23"/>
      <c r="X14" s="53" t="str">
        <f>IF(D14&gt;=0,"OK","ERROR")</f>
        <v>OK</v>
      </c>
      <c r="Y14" s="53" t="str">
        <f>IF(E14&lt;=0,"OK","ERROR")</f>
        <v>OK</v>
      </c>
      <c r="Z14" s="53" t="str">
        <f>IF(MIN(F14:N14)&gt;=0,"OK","ERROR")</f>
        <v>OK</v>
      </c>
      <c r="AA14" s="53" t="str">
        <f>IF(O14&lt;=0,"OK","ERROR")</f>
        <v>OK</v>
      </c>
      <c r="AB14" s="53" t="str">
        <f>IF(P14&gt;=0,"OK","ERROR")</f>
        <v>OK</v>
      </c>
      <c r="AC14" s="53" t="str">
        <f>IF(Q14&gt;=0,"OK","ERROR")</f>
        <v>OK</v>
      </c>
      <c r="AD14" s="53" t="str">
        <f>IF(R14&lt;=0,"OK","ERROR")</f>
        <v>OK</v>
      </c>
      <c r="AE14" s="53" t="str">
        <f>IF(MIN(S14:U14)&gt;=0,"OK","ERROR")</f>
        <v>OK</v>
      </c>
    </row>
    <row r="15" spans="1:31" ht="37.5" customHeight="1" thickTop="1" x14ac:dyDescent="0.2">
      <c r="A15" s="39"/>
      <c r="B15" s="47" t="s">
        <v>38</v>
      </c>
      <c r="C15" s="31"/>
      <c r="D15" s="46"/>
      <c r="E15" s="46"/>
      <c r="F15" s="46"/>
      <c r="G15" s="46"/>
      <c r="H15" s="46"/>
      <c r="I15" s="46"/>
      <c r="J15" s="46"/>
      <c r="K15" s="46"/>
      <c r="L15" s="46"/>
      <c r="M15" s="46"/>
      <c r="N15" s="46"/>
      <c r="O15" s="46"/>
      <c r="P15" s="46"/>
      <c r="Q15" s="46"/>
      <c r="R15" s="46"/>
      <c r="S15" s="46"/>
      <c r="T15" s="46"/>
      <c r="U15" s="46"/>
      <c r="V15" s="31"/>
      <c r="W15" s="45"/>
      <c r="X15" s="52"/>
      <c r="Y15" s="52"/>
      <c r="Z15" s="52"/>
      <c r="AA15" s="9"/>
      <c r="AB15" s="51"/>
      <c r="AC15" s="9"/>
      <c r="AD15" s="9"/>
      <c r="AE15" s="50"/>
    </row>
    <row r="16" spans="1:31" ht="25.35" customHeight="1" thickBot="1" x14ac:dyDescent="0.25">
      <c r="A16" s="39"/>
      <c r="B16" s="48" t="s">
        <v>37</v>
      </c>
      <c r="C16" s="31">
        <v>2</v>
      </c>
      <c r="D16" s="33">
        <v>95420000</v>
      </c>
      <c r="E16" s="33"/>
      <c r="F16" s="32">
        <f>D16+E16</f>
        <v>95420000</v>
      </c>
      <c r="G16" s="34"/>
      <c r="H16" s="34"/>
      <c r="I16" s="34"/>
      <c r="J16" s="49"/>
      <c r="K16" s="36">
        <f>F16</f>
        <v>95420000</v>
      </c>
      <c r="L16" s="35"/>
      <c r="M16" s="34"/>
      <c r="N16" s="34"/>
      <c r="O16" s="34"/>
      <c r="P16" s="34"/>
      <c r="Q16" s="33">
        <v>95420000</v>
      </c>
      <c r="R16" s="34"/>
      <c r="S16" s="33">
        <v>95220000</v>
      </c>
      <c r="T16" s="33">
        <v>240000</v>
      </c>
      <c r="U16" s="32">
        <f>T16*0.08</f>
        <v>19200</v>
      </c>
      <c r="V16" s="31">
        <v>2</v>
      </c>
      <c r="W16" s="23"/>
      <c r="X16" s="2" t="str">
        <f>IF(D16&gt;=0,"OK","ERROR")</f>
        <v>OK</v>
      </c>
      <c r="Y16" s="2" t="str">
        <f>IF(E16&lt;=0,"OK","ERROR")</f>
        <v>OK</v>
      </c>
      <c r="Z16" s="2" t="str">
        <f>IF(MIN(F16:N16)&gt;=0,"OK","ERROR")</f>
        <v>OK</v>
      </c>
      <c r="AA16" s="9"/>
      <c r="AB16" s="9"/>
      <c r="AC16" s="2" t="str">
        <f>IF(Q16&gt;=0,"OK","ERROR")</f>
        <v>OK</v>
      </c>
      <c r="AD16" s="9"/>
      <c r="AE16" s="2" t="str">
        <f>IF(MIN(S16:U16)&gt;=0,"OK","ERROR")</f>
        <v>OK</v>
      </c>
    </row>
    <row r="17" spans="1:32" ht="25.35" customHeight="1" thickTop="1" thickBot="1" x14ac:dyDescent="0.25">
      <c r="A17" s="39"/>
      <c r="B17" s="48" t="s">
        <v>36</v>
      </c>
      <c r="C17" s="31">
        <v>3</v>
      </c>
      <c r="D17" s="33">
        <v>50000</v>
      </c>
      <c r="E17" s="33"/>
      <c r="F17" s="32">
        <f>D17+E17</f>
        <v>50000</v>
      </c>
      <c r="G17" s="33">
        <v>40000</v>
      </c>
      <c r="H17" s="33">
        <v>0</v>
      </c>
      <c r="I17" s="33">
        <v>0</v>
      </c>
      <c r="J17" s="37">
        <v>10000</v>
      </c>
      <c r="K17" s="36">
        <f>F17-G17-0.8*H17-0.5*I17</f>
        <v>10000</v>
      </c>
      <c r="L17" s="35"/>
      <c r="M17" s="34"/>
      <c r="N17" s="34"/>
      <c r="O17" s="34"/>
      <c r="P17" s="34"/>
      <c r="Q17" s="33">
        <v>10000</v>
      </c>
      <c r="R17" s="34"/>
      <c r="S17" s="33">
        <v>10000</v>
      </c>
      <c r="T17" s="33">
        <v>0</v>
      </c>
      <c r="U17" s="32">
        <f>T17*0.08</f>
        <v>0</v>
      </c>
      <c r="V17" s="31">
        <v>3</v>
      </c>
      <c r="W17" s="23"/>
      <c r="X17" s="2" t="str">
        <f>IF(D17&gt;=0,"OK","ERROR")</f>
        <v>OK</v>
      </c>
      <c r="Y17" s="2" t="str">
        <f>IF(E17&lt;=0,"OK","ERROR")</f>
        <v>OK</v>
      </c>
      <c r="Z17" s="2" t="str">
        <f>IF(MIN(F17:N17)&gt;=0,"OK","ERROR")</f>
        <v>OK</v>
      </c>
      <c r="AA17" s="9"/>
      <c r="AB17" s="9"/>
      <c r="AC17" s="2" t="str">
        <f>IF(Q17&gt;=0,"OK","ERROR")</f>
        <v>OK</v>
      </c>
      <c r="AD17" s="9"/>
      <c r="AE17" s="2" t="str">
        <f>IF(MIN(S17:U17)&gt;=0,"OK","ERROR")</f>
        <v>OK</v>
      </c>
    </row>
    <row r="18" spans="1:32" ht="55.35" customHeight="1" thickTop="1" x14ac:dyDescent="0.2">
      <c r="A18" s="39"/>
      <c r="B18" s="47" t="s">
        <v>35</v>
      </c>
      <c r="C18" s="31"/>
      <c r="D18" s="46"/>
      <c r="E18" s="46"/>
      <c r="F18" s="46"/>
      <c r="G18" s="46"/>
      <c r="H18" s="46"/>
      <c r="I18" s="46"/>
      <c r="J18" s="46"/>
      <c r="K18" s="46"/>
      <c r="L18" s="46"/>
      <c r="M18" s="46"/>
      <c r="N18" s="46"/>
      <c r="O18" s="46"/>
      <c r="P18" s="46"/>
      <c r="Q18" s="46"/>
      <c r="R18" s="46"/>
      <c r="S18" s="46"/>
      <c r="T18" s="46"/>
      <c r="U18" s="46"/>
      <c r="V18" s="31"/>
      <c r="W18" s="45"/>
      <c r="X18" s="24"/>
      <c r="Y18" s="27"/>
      <c r="Z18" s="44"/>
      <c r="AA18" s="9"/>
      <c r="AB18" s="9"/>
      <c r="AC18" s="9"/>
      <c r="AD18" s="9"/>
      <c r="AE18" s="9"/>
      <c r="AF18" s="9"/>
    </row>
    <row r="19" spans="1:32" ht="25.35" customHeight="1" thickBot="1" x14ac:dyDescent="0.25">
      <c r="A19" s="39"/>
      <c r="B19" s="43" t="s">
        <v>34</v>
      </c>
      <c r="C19" s="31">
        <v>4</v>
      </c>
      <c r="D19" s="33">
        <v>94890000</v>
      </c>
      <c r="E19" s="33"/>
      <c r="F19" s="32">
        <f t="shared" ref="F19:F34" si="0">D19+E19</f>
        <v>94890000</v>
      </c>
      <c r="G19" s="33">
        <v>0</v>
      </c>
      <c r="H19" s="33"/>
      <c r="I19" s="33"/>
      <c r="J19" s="37"/>
      <c r="K19" s="36">
        <f t="shared" ref="K19:K34" si="1">F19-G19-0.8*H19-0.5*I19</f>
        <v>94890000</v>
      </c>
      <c r="L19" s="35"/>
      <c r="M19" s="34"/>
      <c r="N19" s="34"/>
      <c r="O19" s="34"/>
      <c r="P19" s="34"/>
      <c r="Q19" s="33">
        <v>94890000</v>
      </c>
      <c r="R19" s="34"/>
      <c r="S19" s="33">
        <v>94890000</v>
      </c>
      <c r="T19" s="34"/>
      <c r="U19" s="34"/>
      <c r="V19" s="31">
        <v>4</v>
      </c>
      <c r="W19" s="23"/>
      <c r="X19" s="2" t="str">
        <f t="shared" ref="X19:X34" si="2">IF(D19&gt;=0,"OK","ERROR")</f>
        <v>OK</v>
      </c>
      <c r="Y19" s="2" t="str">
        <f t="shared" ref="Y19:Y34" si="3">IF(E19&lt;=0,"OK","ERROR")</f>
        <v>OK</v>
      </c>
      <c r="Z19" s="2" t="str">
        <f t="shared" ref="Z19:Z34" si="4">IF(MIN(F19:N19)&gt;=0,"OK","ERROR")</f>
        <v>OK</v>
      </c>
      <c r="AA19" s="9"/>
      <c r="AB19" s="9"/>
      <c r="AC19" s="2" t="str">
        <f t="shared" ref="AC19:AC34" si="5">IF(Q19&gt;=0,"OK","ERROR")</f>
        <v>OK</v>
      </c>
      <c r="AD19" s="9"/>
      <c r="AE19" s="2" t="str">
        <f t="shared" ref="AE19:AE34" si="6">IF(MIN(S19:U19)&gt;=0,"OK","ERROR")</f>
        <v>OK</v>
      </c>
    </row>
    <row r="20" spans="1:32" ht="25.35" customHeight="1" thickTop="1" thickBot="1" x14ac:dyDescent="0.25">
      <c r="A20" s="39"/>
      <c r="B20" s="38">
        <v>0.1</v>
      </c>
      <c r="C20" s="31">
        <v>19</v>
      </c>
      <c r="D20" s="33">
        <v>0</v>
      </c>
      <c r="E20" s="33"/>
      <c r="F20" s="32">
        <f t="shared" si="0"/>
        <v>0</v>
      </c>
      <c r="G20" s="33">
        <v>0</v>
      </c>
      <c r="H20" s="33"/>
      <c r="I20" s="33"/>
      <c r="J20" s="37"/>
      <c r="K20" s="36">
        <f t="shared" si="1"/>
        <v>0</v>
      </c>
      <c r="L20" s="35"/>
      <c r="M20" s="34"/>
      <c r="N20" s="34"/>
      <c r="O20" s="34"/>
      <c r="P20" s="34"/>
      <c r="Q20" s="33">
        <v>0</v>
      </c>
      <c r="R20" s="34"/>
      <c r="S20" s="33">
        <v>0</v>
      </c>
      <c r="T20" s="32">
        <f>S20*0.1</f>
        <v>0</v>
      </c>
      <c r="U20" s="32">
        <f t="shared" ref="U20:U34" si="7">T20*0.08</f>
        <v>0</v>
      </c>
      <c r="V20" s="31">
        <v>19</v>
      </c>
      <c r="W20" s="23"/>
      <c r="X20" s="2" t="str">
        <f t="shared" si="2"/>
        <v>OK</v>
      </c>
      <c r="Y20" s="2" t="str">
        <f t="shared" si="3"/>
        <v>OK</v>
      </c>
      <c r="Z20" s="2" t="str">
        <f t="shared" si="4"/>
        <v>OK</v>
      </c>
      <c r="AA20" s="9"/>
      <c r="AB20" s="9"/>
      <c r="AC20" s="2" t="str">
        <f t="shared" si="5"/>
        <v>OK</v>
      </c>
      <c r="AD20" s="9"/>
      <c r="AE20" s="2" t="str">
        <f t="shared" si="6"/>
        <v>OK</v>
      </c>
    </row>
    <row r="21" spans="1:32" ht="25.35" customHeight="1" thickTop="1" thickBot="1" x14ac:dyDescent="0.25">
      <c r="A21" s="39"/>
      <c r="B21" s="38" t="s">
        <v>33</v>
      </c>
      <c r="C21" s="31">
        <v>5</v>
      </c>
      <c r="D21" s="33">
        <v>20000</v>
      </c>
      <c r="E21" s="33"/>
      <c r="F21" s="32">
        <f t="shared" si="0"/>
        <v>20000</v>
      </c>
      <c r="G21" s="33">
        <v>0</v>
      </c>
      <c r="H21" s="33"/>
      <c r="I21" s="33"/>
      <c r="J21" s="37"/>
      <c r="K21" s="36">
        <f t="shared" si="1"/>
        <v>20000</v>
      </c>
      <c r="L21" s="35"/>
      <c r="M21" s="34"/>
      <c r="N21" s="34"/>
      <c r="O21" s="34"/>
      <c r="P21" s="34"/>
      <c r="Q21" s="33">
        <v>20000</v>
      </c>
      <c r="R21" s="34"/>
      <c r="S21" s="33">
        <v>20000</v>
      </c>
      <c r="T21" s="32">
        <f>S21*0.2</f>
        <v>4000</v>
      </c>
      <c r="U21" s="32">
        <f t="shared" si="7"/>
        <v>320</v>
      </c>
      <c r="V21" s="31">
        <v>5</v>
      </c>
      <c r="W21" s="23"/>
      <c r="X21" s="2" t="str">
        <f t="shared" si="2"/>
        <v>OK</v>
      </c>
      <c r="Y21" s="2" t="str">
        <f t="shared" si="3"/>
        <v>OK</v>
      </c>
      <c r="Z21" s="2" t="str">
        <f t="shared" si="4"/>
        <v>OK</v>
      </c>
      <c r="AA21" s="9"/>
      <c r="AB21" s="9"/>
      <c r="AC21" s="2" t="str">
        <f t="shared" si="5"/>
        <v>OK</v>
      </c>
      <c r="AD21" s="9"/>
      <c r="AE21" s="2" t="str">
        <f t="shared" si="6"/>
        <v>OK</v>
      </c>
    </row>
    <row r="22" spans="1:32" ht="25.35" customHeight="1" thickTop="1" thickBot="1" x14ac:dyDescent="0.25">
      <c r="A22" s="42"/>
      <c r="B22" s="38" t="s">
        <v>29</v>
      </c>
      <c r="C22" s="31">
        <v>6</v>
      </c>
      <c r="D22" s="33">
        <v>20000</v>
      </c>
      <c r="E22" s="33"/>
      <c r="F22" s="32">
        <f t="shared" si="0"/>
        <v>20000</v>
      </c>
      <c r="G22" s="33">
        <v>0</v>
      </c>
      <c r="H22" s="33"/>
      <c r="I22" s="33"/>
      <c r="J22" s="37"/>
      <c r="K22" s="36">
        <f t="shared" si="1"/>
        <v>20000</v>
      </c>
      <c r="L22" s="35"/>
      <c r="M22" s="34"/>
      <c r="N22" s="34"/>
      <c r="O22" s="34"/>
      <c r="P22" s="34"/>
      <c r="Q22" s="33">
        <v>20000</v>
      </c>
      <c r="R22" s="34"/>
      <c r="S22" s="33">
        <v>20000</v>
      </c>
      <c r="T22" s="32">
        <f>S22*0.2</f>
        <v>4000</v>
      </c>
      <c r="U22" s="32">
        <f t="shared" si="7"/>
        <v>320</v>
      </c>
      <c r="V22" s="31">
        <v>6</v>
      </c>
      <c r="W22" s="23"/>
      <c r="X22" s="2" t="str">
        <f t="shared" si="2"/>
        <v>OK</v>
      </c>
      <c r="Y22" s="2" t="str">
        <f t="shared" si="3"/>
        <v>OK</v>
      </c>
      <c r="Z22" s="2" t="str">
        <f t="shared" si="4"/>
        <v>OK</v>
      </c>
      <c r="AA22" s="9"/>
      <c r="AB22" s="9"/>
      <c r="AC22" s="2" t="str">
        <f t="shared" si="5"/>
        <v>OK</v>
      </c>
      <c r="AD22" s="9"/>
      <c r="AE22" s="2" t="str">
        <f t="shared" si="6"/>
        <v>OK</v>
      </c>
    </row>
    <row r="23" spans="1:32" ht="20.85" customHeight="1" thickTop="1" thickBot="1" x14ac:dyDescent="0.25">
      <c r="A23" s="41"/>
      <c r="B23" s="38">
        <v>0.35</v>
      </c>
      <c r="C23" s="31">
        <v>7</v>
      </c>
      <c r="D23" s="33">
        <v>0</v>
      </c>
      <c r="E23" s="33"/>
      <c r="F23" s="32">
        <f t="shared" si="0"/>
        <v>0</v>
      </c>
      <c r="G23" s="33">
        <v>0</v>
      </c>
      <c r="H23" s="33"/>
      <c r="I23" s="33"/>
      <c r="J23" s="37"/>
      <c r="K23" s="36">
        <f t="shared" si="1"/>
        <v>0</v>
      </c>
      <c r="L23" s="35"/>
      <c r="M23" s="34"/>
      <c r="N23" s="34"/>
      <c r="O23" s="34"/>
      <c r="P23" s="34"/>
      <c r="Q23" s="33">
        <v>0</v>
      </c>
      <c r="R23" s="34"/>
      <c r="S23" s="33">
        <v>0</v>
      </c>
      <c r="T23" s="32">
        <f>S23*0.35</f>
        <v>0</v>
      </c>
      <c r="U23" s="32">
        <f t="shared" si="7"/>
        <v>0</v>
      </c>
      <c r="V23" s="31">
        <v>7</v>
      </c>
      <c r="W23" s="23"/>
      <c r="X23" s="2" t="str">
        <f t="shared" si="2"/>
        <v>OK</v>
      </c>
      <c r="Y23" s="2" t="str">
        <f t="shared" si="3"/>
        <v>OK</v>
      </c>
      <c r="Z23" s="2" t="str">
        <f t="shared" si="4"/>
        <v>OK</v>
      </c>
      <c r="AA23" s="9"/>
      <c r="AB23" s="9"/>
      <c r="AC23" s="2" t="str">
        <f t="shared" si="5"/>
        <v>OK</v>
      </c>
      <c r="AD23" s="9"/>
      <c r="AE23" s="2" t="str">
        <f t="shared" si="6"/>
        <v>OK</v>
      </c>
    </row>
    <row r="24" spans="1:32" ht="25.35" customHeight="1" thickTop="1" thickBot="1" x14ac:dyDescent="0.25">
      <c r="A24" s="39"/>
      <c r="B24" s="38" t="s">
        <v>32</v>
      </c>
      <c r="C24" s="31">
        <v>8</v>
      </c>
      <c r="D24" s="33">
        <v>180000</v>
      </c>
      <c r="E24" s="33"/>
      <c r="F24" s="32">
        <f t="shared" si="0"/>
        <v>180000</v>
      </c>
      <c r="G24" s="33">
        <v>0</v>
      </c>
      <c r="H24" s="33"/>
      <c r="I24" s="33"/>
      <c r="J24" s="37"/>
      <c r="K24" s="36">
        <f t="shared" si="1"/>
        <v>180000</v>
      </c>
      <c r="L24" s="35"/>
      <c r="M24" s="34"/>
      <c r="N24" s="34"/>
      <c r="O24" s="34"/>
      <c r="P24" s="34"/>
      <c r="Q24" s="33">
        <v>180000</v>
      </c>
      <c r="R24" s="34"/>
      <c r="S24" s="33">
        <v>180000</v>
      </c>
      <c r="T24" s="32">
        <f>S24*0.5</f>
        <v>90000</v>
      </c>
      <c r="U24" s="32">
        <f t="shared" si="7"/>
        <v>7200</v>
      </c>
      <c r="V24" s="31">
        <v>8</v>
      </c>
      <c r="W24" s="23"/>
      <c r="X24" s="2" t="str">
        <f t="shared" si="2"/>
        <v>OK</v>
      </c>
      <c r="Y24" s="2" t="str">
        <f t="shared" si="3"/>
        <v>OK</v>
      </c>
      <c r="Z24" s="2" t="str">
        <f t="shared" si="4"/>
        <v>OK</v>
      </c>
      <c r="AA24" s="9"/>
      <c r="AB24" s="9"/>
      <c r="AC24" s="2" t="str">
        <f t="shared" si="5"/>
        <v>OK</v>
      </c>
      <c r="AD24" s="9"/>
      <c r="AE24" s="2" t="str">
        <f t="shared" si="6"/>
        <v>OK</v>
      </c>
    </row>
    <row r="25" spans="1:32" ht="25.35" customHeight="1" thickTop="1" thickBot="1" x14ac:dyDescent="0.25">
      <c r="A25" s="39"/>
      <c r="B25" s="38" t="s">
        <v>29</v>
      </c>
      <c r="C25" s="31">
        <v>9</v>
      </c>
      <c r="D25" s="33">
        <v>50000</v>
      </c>
      <c r="E25" s="33"/>
      <c r="F25" s="32">
        <f t="shared" si="0"/>
        <v>50000</v>
      </c>
      <c r="G25" s="33">
        <v>0</v>
      </c>
      <c r="H25" s="33"/>
      <c r="I25" s="33"/>
      <c r="J25" s="37"/>
      <c r="K25" s="36">
        <f t="shared" si="1"/>
        <v>50000</v>
      </c>
      <c r="L25" s="35"/>
      <c r="M25" s="34"/>
      <c r="N25" s="34"/>
      <c r="O25" s="34"/>
      <c r="P25" s="34"/>
      <c r="Q25" s="33">
        <v>50000</v>
      </c>
      <c r="R25" s="34"/>
      <c r="S25" s="33">
        <v>50000</v>
      </c>
      <c r="T25" s="32">
        <f>S25*0.5</f>
        <v>25000</v>
      </c>
      <c r="U25" s="32">
        <f t="shared" si="7"/>
        <v>2000</v>
      </c>
      <c r="V25" s="31">
        <v>9</v>
      </c>
      <c r="W25" s="23"/>
      <c r="X25" s="2" t="str">
        <f t="shared" si="2"/>
        <v>OK</v>
      </c>
      <c r="Y25" s="2" t="str">
        <f t="shared" si="3"/>
        <v>OK</v>
      </c>
      <c r="Z25" s="2" t="str">
        <f t="shared" si="4"/>
        <v>OK</v>
      </c>
      <c r="AA25" s="9"/>
      <c r="AB25" s="9"/>
      <c r="AC25" s="2" t="str">
        <f t="shared" si="5"/>
        <v>OK</v>
      </c>
      <c r="AD25" s="9"/>
      <c r="AE25" s="2" t="str">
        <f t="shared" si="6"/>
        <v>OK</v>
      </c>
    </row>
    <row r="26" spans="1:32" ht="25.35" customHeight="1" thickTop="1" thickBot="1" x14ac:dyDescent="0.25">
      <c r="A26" s="39"/>
      <c r="B26" s="38" t="s">
        <v>31</v>
      </c>
      <c r="C26" s="31">
        <v>11</v>
      </c>
      <c r="D26" s="33">
        <v>0</v>
      </c>
      <c r="E26" s="33"/>
      <c r="F26" s="32">
        <f t="shared" si="0"/>
        <v>0</v>
      </c>
      <c r="G26" s="33">
        <v>0</v>
      </c>
      <c r="H26" s="33"/>
      <c r="I26" s="33"/>
      <c r="J26" s="37"/>
      <c r="K26" s="36">
        <f t="shared" si="1"/>
        <v>0</v>
      </c>
      <c r="L26" s="35"/>
      <c r="M26" s="34"/>
      <c r="N26" s="34"/>
      <c r="O26" s="34"/>
      <c r="P26" s="34"/>
      <c r="Q26" s="33">
        <v>0</v>
      </c>
      <c r="R26" s="34"/>
      <c r="S26" s="33">
        <v>0</v>
      </c>
      <c r="T26" s="32">
        <f>S26*0.75</f>
        <v>0</v>
      </c>
      <c r="U26" s="32">
        <f t="shared" si="7"/>
        <v>0</v>
      </c>
      <c r="V26" s="31">
        <v>11</v>
      </c>
      <c r="W26" s="23"/>
      <c r="X26" s="2" t="str">
        <f t="shared" si="2"/>
        <v>OK</v>
      </c>
      <c r="Y26" s="2" t="str">
        <f t="shared" si="3"/>
        <v>OK</v>
      </c>
      <c r="Z26" s="2" t="str">
        <f t="shared" si="4"/>
        <v>OK</v>
      </c>
      <c r="AA26" s="9"/>
      <c r="AB26" s="9"/>
      <c r="AC26" s="2" t="str">
        <f t="shared" si="5"/>
        <v>OK</v>
      </c>
      <c r="AD26" s="9"/>
      <c r="AE26" s="2" t="str">
        <f t="shared" si="6"/>
        <v>OK</v>
      </c>
    </row>
    <row r="27" spans="1:32" ht="25.35" customHeight="1" thickTop="1" thickBot="1" x14ac:dyDescent="0.25">
      <c r="A27" s="39"/>
      <c r="B27" s="40" t="s">
        <v>28</v>
      </c>
      <c r="C27" s="31">
        <v>20</v>
      </c>
      <c r="D27" s="33">
        <v>0</v>
      </c>
      <c r="E27" s="33"/>
      <c r="F27" s="32">
        <f t="shared" si="0"/>
        <v>0</v>
      </c>
      <c r="G27" s="33">
        <v>0</v>
      </c>
      <c r="H27" s="33"/>
      <c r="I27" s="33"/>
      <c r="J27" s="37"/>
      <c r="K27" s="36">
        <f t="shared" si="1"/>
        <v>0</v>
      </c>
      <c r="L27" s="35"/>
      <c r="M27" s="34"/>
      <c r="N27" s="34"/>
      <c r="O27" s="34"/>
      <c r="P27" s="34"/>
      <c r="Q27" s="33">
        <v>0</v>
      </c>
      <c r="R27" s="34"/>
      <c r="S27" s="33">
        <v>0</v>
      </c>
      <c r="T27" s="32">
        <f>S27*0.75</f>
        <v>0</v>
      </c>
      <c r="U27" s="32">
        <f t="shared" si="7"/>
        <v>0</v>
      </c>
      <c r="V27" s="31">
        <v>20</v>
      </c>
      <c r="W27" s="23"/>
      <c r="X27" s="2" t="str">
        <f t="shared" si="2"/>
        <v>OK</v>
      </c>
      <c r="Y27" s="2" t="str">
        <f t="shared" si="3"/>
        <v>OK</v>
      </c>
      <c r="Z27" s="2" t="str">
        <f t="shared" si="4"/>
        <v>OK</v>
      </c>
      <c r="AA27" s="9"/>
      <c r="AB27" s="9"/>
      <c r="AC27" s="2" t="str">
        <f t="shared" si="5"/>
        <v>OK</v>
      </c>
      <c r="AD27" s="9"/>
      <c r="AE27" s="2" t="str">
        <f t="shared" si="6"/>
        <v>OK</v>
      </c>
    </row>
    <row r="28" spans="1:32" ht="24.6" customHeight="1" thickTop="1" thickBot="1" x14ac:dyDescent="0.25">
      <c r="A28" s="39"/>
      <c r="B28" s="38" t="s">
        <v>30</v>
      </c>
      <c r="C28" s="31">
        <v>12</v>
      </c>
      <c r="D28" s="33">
        <v>140000</v>
      </c>
      <c r="E28" s="33"/>
      <c r="F28" s="32">
        <f t="shared" si="0"/>
        <v>140000</v>
      </c>
      <c r="G28" s="33">
        <v>40000</v>
      </c>
      <c r="H28" s="33"/>
      <c r="I28" s="33"/>
      <c r="J28" s="37"/>
      <c r="K28" s="36">
        <f t="shared" si="1"/>
        <v>100000</v>
      </c>
      <c r="L28" s="35"/>
      <c r="M28" s="34"/>
      <c r="N28" s="34"/>
      <c r="O28" s="34"/>
      <c r="P28" s="34"/>
      <c r="Q28" s="33">
        <v>100000</v>
      </c>
      <c r="R28" s="34"/>
      <c r="S28" s="33">
        <v>100000</v>
      </c>
      <c r="T28" s="32">
        <f>S28*1</f>
        <v>100000</v>
      </c>
      <c r="U28" s="32">
        <f t="shared" si="7"/>
        <v>8000</v>
      </c>
      <c r="V28" s="31">
        <v>12</v>
      </c>
      <c r="W28" s="23"/>
      <c r="X28" s="2" t="str">
        <f t="shared" si="2"/>
        <v>OK</v>
      </c>
      <c r="Y28" s="2" t="str">
        <f t="shared" si="3"/>
        <v>OK</v>
      </c>
      <c r="Z28" s="2" t="str">
        <f t="shared" si="4"/>
        <v>OK</v>
      </c>
      <c r="AA28" s="9"/>
      <c r="AB28" s="9"/>
      <c r="AC28" s="2" t="str">
        <f t="shared" si="5"/>
        <v>OK</v>
      </c>
      <c r="AD28" s="9"/>
      <c r="AE28" s="2" t="str">
        <f t="shared" si="6"/>
        <v>OK</v>
      </c>
    </row>
    <row r="29" spans="1:32" ht="24.6" customHeight="1" thickTop="1" thickBot="1" x14ac:dyDescent="0.25">
      <c r="A29" s="39"/>
      <c r="B29" s="38" t="s">
        <v>29</v>
      </c>
      <c r="C29" s="31">
        <v>13</v>
      </c>
      <c r="D29" s="33">
        <v>140000</v>
      </c>
      <c r="E29" s="33"/>
      <c r="F29" s="32">
        <f t="shared" si="0"/>
        <v>140000</v>
      </c>
      <c r="G29" s="33">
        <v>40000</v>
      </c>
      <c r="H29" s="33"/>
      <c r="I29" s="33"/>
      <c r="J29" s="37"/>
      <c r="K29" s="36">
        <f t="shared" si="1"/>
        <v>100000</v>
      </c>
      <c r="L29" s="35"/>
      <c r="M29" s="34"/>
      <c r="N29" s="34"/>
      <c r="O29" s="34"/>
      <c r="P29" s="34"/>
      <c r="Q29" s="33">
        <v>100000</v>
      </c>
      <c r="R29" s="34"/>
      <c r="S29" s="33">
        <v>100000</v>
      </c>
      <c r="T29" s="32">
        <f>S29*1</f>
        <v>100000</v>
      </c>
      <c r="U29" s="32">
        <f t="shared" si="7"/>
        <v>8000</v>
      </c>
      <c r="V29" s="31">
        <v>13</v>
      </c>
      <c r="W29" s="23"/>
      <c r="X29" s="2" t="str">
        <f t="shared" si="2"/>
        <v>OK</v>
      </c>
      <c r="Y29" s="2" t="str">
        <f t="shared" si="3"/>
        <v>OK</v>
      </c>
      <c r="Z29" s="2" t="str">
        <f t="shared" si="4"/>
        <v>OK</v>
      </c>
      <c r="AA29" s="9"/>
      <c r="AB29" s="9"/>
      <c r="AC29" s="2" t="str">
        <f t="shared" si="5"/>
        <v>OK</v>
      </c>
      <c r="AD29" s="9"/>
      <c r="AE29" s="2" t="str">
        <f t="shared" si="6"/>
        <v>OK</v>
      </c>
    </row>
    <row r="30" spans="1:32" ht="24.6" customHeight="1" thickTop="1" thickBot="1" x14ac:dyDescent="0.25">
      <c r="A30" s="39"/>
      <c r="B30" s="40" t="s">
        <v>28</v>
      </c>
      <c r="C30" s="31">
        <v>14</v>
      </c>
      <c r="D30" s="33">
        <v>0</v>
      </c>
      <c r="E30" s="33"/>
      <c r="F30" s="32">
        <f t="shared" si="0"/>
        <v>0</v>
      </c>
      <c r="G30" s="33"/>
      <c r="H30" s="33"/>
      <c r="I30" s="33"/>
      <c r="J30" s="37"/>
      <c r="K30" s="36">
        <f t="shared" si="1"/>
        <v>0</v>
      </c>
      <c r="L30" s="35"/>
      <c r="M30" s="34"/>
      <c r="N30" s="34"/>
      <c r="O30" s="34"/>
      <c r="P30" s="34"/>
      <c r="Q30" s="33">
        <v>0</v>
      </c>
      <c r="R30" s="34"/>
      <c r="S30" s="33">
        <v>0</v>
      </c>
      <c r="T30" s="32">
        <f>S30*1</f>
        <v>0</v>
      </c>
      <c r="U30" s="32">
        <f t="shared" si="7"/>
        <v>0</v>
      </c>
      <c r="V30" s="31">
        <v>14</v>
      </c>
      <c r="W30" s="23"/>
      <c r="X30" s="2" t="str">
        <f t="shared" si="2"/>
        <v>OK</v>
      </c>
      <c r="Y30" s="2" t="str">
        <f t="shared" si="3"/>
        <v>OK</v>
      </c>
      <c r="Z30" s="2" t="str">
        <f t="shared" si="4"/>
        <v>OK</v>
      </c>
      <c r="AA30" s="9"/>
      <c r="AB30" s="9"/>
      <c r="AC30" s="2" t="str">
        <f t="shared" si="5"/>
        <v>OK</v>
      </c>
      <c r="AD30" s="9"/>
      <c r="AE30" s="2" t="str">
        <f t="shared" si="6"/>
        <v>OK</v>
      </c>
    </row>
    <row r="31" spans="1:32" ht="24.6" customHeight="1" thickTop="1" thickBot="1" x14ac:dyDescent="0.25">
      <c r="A31" s="39"/>
      <c r="B31" s="38" t="s">
        <v>26</v>
      </c>
      <c r="C31" s="31">
        <v>15</v>
      </c>
      <c r="D31" s="33">
        <v>0</v>
      </c>
      <c r="E31" s="33"/>
      <c r="F31" s="32">
        <f t="shared" si="0"/>
        <v>0</v>
      </c>
      <c r="G31" s="33"/>
      <c r="H31" s="33"/>
      <c r="I31" s="33"/>
      <c r="J31" s="37"/>
      <c r="K31" s="36">
        <f t="shared" si="1"/>
        <v>0</v>
      </c>
      <c r="L31" s="35"/>
      <c r="M31" s="34"/>
      <c r="N31" s="34"/>
      <c r="O31" s="34"/>
      <c r="P31" s="34"/>
      <c r="Q31" s="33">
        <v>0</v>
      </c>
      <c r="R31" s="34"/>
      <c r="S31" s="33">
        <v>0</v>
      </c>
      <c r="T31" s="32">
        <f>S31*1</f>
        <v>0</v>
      </c>
      <c r="U31" s="32">
        <f t="shared" si="7"/>
        <v>0</v>
      </c>
      <c r="V31" s="31">
        <v>15</v>
      </c>
      <c r="W31" s="23"/>
      <c r="X31" s="2" t="str">
        <f t="shared" si="2"/>
        <v>OK</v>
      </c>
      <c r="Y31" s="2" t="str">
        <f t="shared" si="3"/>
        <v>OK</v>
      </c>
      <c r="Z31" s="2" t="str">
        <f t="shared" si="4"/>
        <v>OK</v>
      </c>
      <c r="AA31" s="9"/>
      <c r="AB31" s="9"/>
      <c r="AC31" s="2" t="str">
        <f t="shared" si="5"/>
        <v>OK</v>
      </c>
      <c r="AD31" s="9"/>
      <c r="AE31" s="2" t="str">
        <f t="shared" si="6"/>
        <v>OK</v>
      </c>
    </row>
    <row r="32" spans="1:32" ht="24.6" customHeight="1" thickTop="1" thickBot="1" x14ac:dyDescent="0.25">
      <c r="A32" s="39"/>
      <c r="B32" s="38" t="s">
        <v>27</v>
      </c>
      <c r="C32" s="31">
        <v>16</v>
      </c>
      <c r="D32" s="33">
        <v>230000</v>
      </c>
      <c r="E32" s="33"/>
      <c r="F32" s="32">
        <f t="shared" si="0"/>
        <v>230000</v>
      </c>
      <c r="G32" s="33"/>
      <c r="H32" s="33"/>
      <c r="I32" s="33"/>
      <c r="J32" s="37"/>
      <c r="K32" s="36">
        <f t="shared" si="1"/>
        <v>230000</v>
      </c>
      <c r="L32" s="35"/>
      <c r="M32" s="34"/>
      <c r="N32" s="34"/>
      <c r="O32" s="34"/>
      <c r="P32" s="34"/>
      <c r="Q32" s="33">
        <v>230000</v>
      </c>
      <c r="R32" s="34"/>
      <c r="S32" s="33">
        <v>30000</v>
      </c>
      <c r="T32" s="32">
        <f>S32*1.5</f>
        <v>45000</v>
      </c>
      <c r="U32" s="32">
        <f t="shared" si="7"/>
        <v>3600</v>
      </c>
      <c r="V32" s="31">
        <v>16</v>
      </c>
      <c r="W32" s="23"/>
      <c r="X32" s="2" t="str">
        <f t="shared" si="2"/>
        <v>OK</v>
      </c>
      <c r="Y32" s="2" t="str">
        <f t="shared" si="3"/>
        <v>OK</v>
      </c>
      <c r="Z32" s="2" t="str">
        <f t="shared" si="4"/>
        <v>OK</v>
      </c>
      <c r="AA32" s="9"/>
      <c r="AB32" s="9"/>
      <c r="AC32" s="2" t="str">
        <f t="shared" si="5"/>
        <v>OK</v>
      </c>
      <c r="AD32" s="9"/>
      <c r="AE32" s="2" t="str">
        <f t="shared" si="6"/>
        <v>OK</v>
      </c>
    </row>
    <row r="33" spans="1:32" ht="24.6" customHeight="1" thickTop="1" thickBot="1" x14ac:dyDescent="0.25">
      <c r="A33" s="39"/>
      <c r="B33" s="38" t="s">
        <v>26</v>
      </c>
      <c r="C33" s="31">
        <v>17</v>
      </c>
      <c r="D33" s="33">
        <v>230000</v>
      </c>
      <c r="E33" s="33"/>
      <c r="F33" s="32">
        <f t="shared" si="0"/>
        <v>230000</v>
      </c>
      <c r="G33" s="33"/>
      <c r="H33" s="33"/>
      <c r="I33" s="33"/>
      <c r="J33" s="37"/>
      <c r="K33" s="36">
        <f t="shared" si="1"/>
        <v>230000</v>
      </c>
      <c r="L33" s="35"/>
      <c r="M33" s="34"/>
      <c r="N33" s="34"/>
      <c r="O33" s="34"/>
      <c r="P33" s="34"/>
      <c r="Q33" s="33">
        <v>230000</v>
      </c>
      <c r="R33" s="34"/>
      <c r="S33" s="33">
        <v>30000</v>
      </c>
      <c r="T33" s="32">
        <f>S33*1.5</f>
        <v>45000</v>
      </c>
      <c r="U33" s="32">
        <f t="shared" si="7"/>
        <v>3600</v>
      </c>
      <c r="V33" s="31">
        <v>17</v>
      </c>
      <c r="W33" s="23"/>
      <c r="X33" s="2" t="str">
        <f t="shared" si="2"/>
        <v>OK</v>
      </c>
      <c r="Y33" s="2" t="str">
        <f t="shared" si="3"/>
        <v>OK</v>
      </c>
      <c r="Z33" s="2" t="str">
        <f t="shared" si="4"/>
        <v>OK</v>
      </c>
      <c r="AA33" s="9"/>
      <c r="AB33" s="9"/>
      <c r="AC33" s="2" t="str">
        <f t="shared" si="5"/>
        <v>OK</v>
      </c>
      <c r="AD33" s="9"/>
      <c r="AE33" s="2" t="str">
        <f t="shared" si="6"/>
        <v>OK</v>
      </c>
    </row>
    <row r="34" spans="1:32" ht="25.35" customHeight="1" thickTop="1" thickBot="1" x14ac:dyDescent="0.25">
      <c r="A34" s="39"/>
      <c r="B34" s="38">
        <v>3.5</v>
      </c>
      <c r="C34" s="31">
        <v>18</v>
      </c>
      <c r="D34" s="33"/>
      <c r="E34" s="33"/>
      <c r="F34" s="32">
        <f t="shared" si="0"/>
        <v>0</v>
      </c>
      <c r="G34" s="33"/>
      <c r="H34" s="33"/>
      <c r="I34" s="33"/>
      <c r="J34" s="37"/>
      <c r="K34" s="36">
        <f t="shared" si="1"/>
        <v>0</v>
      </c>
      <c r="L34" s="35"/>
      <c r="M34" s="34"/>
      <c r="N34" s="34"/>
      <c r="O34" s="34"/>
      <c r="P34" s="34"/>
      <c r="Q34" s="33"/>
      <c r="R34" s="34"/>
      <c r="S34" s="33">
        <v>0</v>
      </c>
      <c r="T34" s="32">
        <f>S34*3.5</f>
        <v>0</v>
      </c>
      <c r="U34" s="32">
        <f t="shared" si="7"/>
        <v>0</v>
      </c>
      <c r="V34" s="31">
        <v>18</v>
      </c>
      <c r="W34" s="23"/>
      <c r="X34" s="2" t="str">
        <f t="shared" si="2"/>
        <v>OK</v>
      </c>
      <c r="Y34" s="2" t="str">
        <f t="shared" si="3"/>
        <v>OK</v>
      </c>
      <c r="Z34" s="2" t="str">
        <f t="shared" si="4"/>
        <v>OK</v>
      </c>
      <c r="AA34" s="9"/>
      <c r="AB34" s="9"/>
      <c r="AC34" s="2" t="str">
        <f t="shared" si="5"/>
        <v>OK</v>
      </c>
      <c r="AD34" s="9"/>
      <c r="AE34" s="2" t="str">
        <f t="shared" si="6"/>
        <v>OK</v>
      </c>
    </row>
    <row r="35" spans="1:32" ht="7.5" customHeight="1" thickTop="1" x14ac:dyDescent="0.2">
      <c r="A35" s="30"/>
      <c r="B35" s="29"/>
      <c r="C35" s="12"/>
      <c r="D35" s="28"/>
      <c r="E35" s="28"/>
      <c r="F35" s="28"/>
      <c r="G35" s="28"/>
      <c r="H35" s="28"/>
      <c r="I35" s="28"/>
      <c r="J35" s="28"/>
      <c r="K35" s="28"/>
      <c r="L35" s="28"/>
      <c r="M35" s="28"/>
      <c r="N35" s="28"/>
      <c r="O35" s="28"/>
      <c r="P35" s="28"/>
      <c r="Q35" s="28"/>
      <c r="R35" s="28"/>
      <c r="S35" s="28"/>
      <c r="T35" s="28"/>
      <c r="U35" s="28"/>
      <c r="V35" s="12"/>
      <c r="W35" s="24"/>
      <c r="X35" s="24"/>
      <c r="Y35" s="27"/>
      <c r="Z35" s="27"/>
      <c r="AA35" s="9"/>
      <c r="AB35" s="9"/>
      <c r="AC35" s="9"/>
      <c r="AD35" s="9"/>
      <c r="AE35" s="9"/>
      <c r="AF35" s="9"/>
    </row>
    <row r="36" spans="1:32" ht="18.75" customHeight="1" x14ac:dyDescent="0.2">
      <c r="A36"/>
      <c r="B36" s="26" t="str">
        <f>"Version: "&amp;D43</f>
        <v>Version: 2.01.E0</v>
      </c>
      <c r="C36"/>
      <c r="D36"/>
      <c r="E36"/>
      <c r="F36"/>
      <c r="G36"/>
      <c r="H36"/>
      <c r="I36"/>
      <c r="J36"/>
      <c r="K36"/>
      <c r="L36"/>
      <c r="M36"/>
      <c r="N36"/>
      <c r="O36"/>
      <c r="P36"/>
      <c r="Q36"/>
      <c r="R36"/>
      <c r="S36"/>
      <c r="T36"/>
      <c r="U36"/>
      <c r="V36" s="25" t="s">
        <v>25</v>
      </c>
      <c r="W36" s="23"/>
      <c r="X36" s="23"/>
      <c r="Y36" s="24"/>
      <c r="Z36" s="24"/>
      <c r="AA36" s="9"/>
      <c r="AB36" s="9"/>
      <c r="AC36" s="9"/>
      <c r="AD36" s="9"/>
      <c r="AE36" s="9"/>
      <c r="AF36" s="9"/>
    </row>
    <row r="37" spans="1:32" ht="18.75" customHeight="1" x14ac:dyDescent="0.2">
      <c r="A37"/>
      <c r="B37"/>
      <c r="C37"/>
      <c r="D37"/>
      <c r="E37"/>
      <c r="F37"/>
      <c r="G37"/>
      <c r="H37"/>
      <c r="I37"/>
      <c r="J37"/>
      <c r="K37"/>
      <c r="L37"/>
      <c r="M37"/>
      <c r="N37"/>
      <c r="O37"/>
      <c r="P37"/>
      <c r="Q37"/>
      <c r="R37"/>
      <c r="S37"/>
      <c r="T37"/>
      <c r="U37"/>
      <c r="V37" s="9"/>
      <c r="W37" s="23"/>
      <c r="X37" s="23"/>
      <c r="Y37" s="23"/>
      <c r="Z37" s="23"/>
    </row>
    <row r="38" spans="1:32" ht="18.75" customHeight="1" x14ac:dyDescent="0.2">
      <c r="Q38" s="22"/>
      <c r="S38" s="22"/>
      <c r="V38" s="9"/>
    </row>
    <row r="39" spans="1:32" ht="18.75" customHeight="1" x14ac:dyDescent="0.2">
      <c r="Q39" s="22"/>
      <c r="S39" s="22"/>
    </row>
    <row r="40" spans="1:32" ht="18.75" customHeight="1" x14ac:dyDescent="0.2">
      <c r="B40" s="21"/>
      <c r="C40" s="20" t="s">
        <v>24</v>
      </c>
      <c r="D40" s="19" t="str">
        <f>U2</f>
        <v>XXXXXX</v>
      </c>
    </row>
    <row r="41" spans="1:32" ht="18.75" customHeight="1" x14ac:dyDescent="0.2">
      <c r="B41" s="15"/>
      <c r="D41" s="14" t="str">
        <f>U1</f>
        <v>P_CRSABIS_01</v>
      </c>
    </row>
    <row r="42" spans="1:32" ht="18.75" customHeight="1" x14ac:dyDescent="0.2">
      <c r="B42" s="15"/>
      <c r="D42" s="18" t="str">
        <f>U3</f>
        <v>DD.MM.YYYY</v>
      </c>
    </row>
    <row r="43" spans="1:32" ht="18.75" customHeight="1" x14ac:dyDescent="0.2">
      <c r="B43" s="17"/>
      <c r="D43" s="16" t="s">
        <v>23</v>
      </c>
    </row>
    <row r="44" spans="1:32" ht="18.75" customHeight="1" x14ac:dyDescent="0.2">
      <c r="B44" s="15"/>
      <c r="D44" s="14" t="str">
        <f>D13</f>
        <v>col. 01</v>
      </c>
    </row>
    <row r="45" spans="1:32" ht="18.75" customHeight="1" x14ac:dyDescent="0.2">
      <c r="B45" s="13"/>
      <c r="C45" s="12"/>
      <c r="D45" s="11">
        <f>COUNTIF(D49:U54,"ERROR")+COUNTIF(X14:AE35,"ERROR")</f>
        <v>8</v>
      </c>
    </row>
    <row r="46" spans="1:32" ht="20.85" customHeight="1" x14ac:dyDescent="0.2">
      <c r="B46" s="9"/>
      <c r="C46" s="8"/>
      <c r="D46" s="10"/>
    </row>
    <row r="47" spans="1:32" x14ac:dyDescent="0.2">
      <c r="B47" s="9"/>
      <c r="C47" s="8"/>
      <c r="D47" s="7"/>
    </row>
    <row r="48" spans="1:32" x14ac:dyDescent="0.2">
      <c r="D48" s="6" t="s">
        <v>22</v>
      </c>
      <c r="E48" s="6" t="s">
        <v>21</v>
      </c>
      <c r="F48" s="6" t="s">
        <v>20</v>
      </c>
      <c r="G48" s="6" t="s">
        <v>19</v>
      </c>
      <c r="H48" s="6" t="s">
        <v>18</v>
      </c>
      <c r="I48" s="6" t="s">
        <v>17</v>
      </c>
      <c r="J48" s="6" t="s">
        <v>16</v>
      </c>
      <c r="K48" s="6" t="s">
        <v>15</v>
      </c>
      <c r="L48" s="6" t="s">
        <v>14</v>
      </c>
      <c r="M48" s="6" t="s">
        <v>13</v>
      </c>
      <c r="N48" s="6" t="s">
        <v>12</v>
      </c>
      <c r="O48" s="6" t="s">
        <v>11</v>
      </c>
      <c r="P48" s="6" t="s">
        <v>10</v>
      </c>
      <c r="Q48" s="6" t="s">
        <v>9</v>
      </c>
      <c r="R48" s="6" t="s">
        <v>8</v>
      </c>
      <c r="S48" s="6" t="s">
        <v>7</v>
      </c>
      <c r="T48" s="6" t="s">
        <v>6</v>
      </c>
      <c r="U48" s="6" t="s">
        <v>5</v>
      </c>
      <c r="V48"/>
      <c r="W48"/>
    </row>
    <row r="49" spans="2:23" x14ac:dyDescent="0.2">
      <c r="B49" s="4" t="s">
        <v>4</v>
      </c>
      <c r="C49" s="5"/>
      <c r="D49" s="2" t="str">
        <f>IF(ROUND(D17+D16,0)=ROUND(D14,0),"OK","ERROR")</f>
        <v>ERROR</v>
      </c>
      <c r="E49" s="2" t="str">
        <f>IF(ROUND(E17+E16,0)=ROUND(E14,0),"OK","ERROR")</f>
        <v>OK</v>
      </c>
      <c r="F49" s="2" t="str">
        <f>IF(ROUND(F17+F16,0)=ROUND(F14,0),"OK","ERROR")</f>
        <v>ERROR</v>
      </c>
      <c r="G49" s="2" t="str">
        <f>IF(ROUND(G17,0)=ROUND(G14,0),"OK","ERROR")</f>
        <v>OK</v>
      </c>
      <c r="H49" s="2" t="str">
        <f>IF(ROUND(H17,0)=ROUND(H14,0),"OK","ERROR")</f>
        <v>OK</v>
      </c>
      <c r="I49" s="2" t="str">
        <f>IF(ROUND(I17,0)=ROUND(I14,0),"OK","ERROR")</f>
        <v>OK</v>
      </c>
      <c r="J49" s="2" t="str">
        <f>IF(ROUND(J17,0)=ROUND(J14,0),"OK","ERROR")</f>
        <v>ERROR</v>
      </c>
      <c r="K49" s="2" t="str">
        <f>IF(AND(ROUND(K16+K17,0)=ROUND(K14,0),ROUND(K14,0)=ROUND(K19+K20+K21+K23+K24+K26+K28+K32+K34,0)),"OK","ERROR")</f>
        <v>ERROR</v>
      </c>
      <c r="L49"/>
      <c r="M49"/>
      <c r="N49"/>
      <c r="O49"/>
      <c r="P49"/>
      <c r="Q49" s="2" t="str">
        <f>IF(AND(ROUND(Q17+Q16,0)=ROUND(Q14,0),ROUND(K14+O14+P14,0)=ROUND(Q14,0)),"OK","ERROR")</f>
        <v>ERROR</v>
      </c>
      <c r="R49"/>
      <c r="S49" s="2" t="str">
        <f>IF(AND(ROUND(S17+S16,0)=ROUND(S14,0),ROUND(Q14+R14,0)=ROUND(S14,0)),"OK","ERROR")</f>
        <v>ERROR</v>
      </c>
      <c r="T49" s="2" t="str">
        <f>IF(ROUND(T17+T16,0)=ROUND(T14,0),"OK","ERROR")</f>
        <v>ERROR</v>
      </c>
      <c r="U49" s="2" t="str">
        <f>IF(ROUND(U17+U16,0)=ROUND(U14,0),"OK","ERROR")</f>
        <v>ERROR</v>
      </c>
      <c r="V49"/>
      <c r="W49"/>
    </row>
    <row r="50" spans="2:23" x14ac:dyDescent="0.2">
      <c r="B50" s="4" t="s">
        <v>3</v>
      </c>
      <c r="C50" s="3"/>
      <c r="D50" s="2" t="str">
        <f>IF(ROUND(D22,0)&lt;=ROUND(D21,0),"OK","ERROR")</f>
        <v>OK</v>
      </c>
      <c r="E50" s="2" t="str">
        <f>IF(ROUND(E22,0)&gt;=ROUND(E21,0),"OK","ERROR")</f>
        <v>OK</v>
      </c>
      <c r="F50" s="2" t="str">
        <f t="shared" ref="F50:K50" si="8">IF(ROUND(F22,0)&lt;=ROUND(F21,0),"OK","ERROR")</f>
        <v>OK</v>
      </c>
      <c r="G50" s="2" t="str">
        <f t="shared" si="8"/>
        <v>OK</v>
      </c>
      <c r="H50" s="2" t="str">
        <f t="shared" si="8"/>
        <v>OK</v>
      </c>
      <c r="I50" s="2" t="str">
        <f t="shared" si="8"/>
        <v>OK</v>
      </c>
      <c r="J50" s="2" t="str">
        <f t="shared" si="8"/>
        <v>OK</v>
      </c>
      <c r="K50" s="2" t="str">
        <f t="shared" si="8"/>
        <v>OK</v>
      </c>
      <c r="L50"/>
      <c r="M50"/>
      <c r="N50"/>
      <c r="O50"/>
      <c r="P50"/>
      <c r="Q50" s="2" t="str">
        <f>IF(ROUND(Q22,0)&lt;=ROUND(Q21,0),"OK","ERROR")</f>
        <v>OK</v>
      </c>
      <c r="R50"/>
      <c r="S50" s="2" t="str">
        <f>IF(ROUND(S22,0)&lt;=ROUND(S21,0),"OK","ERROR")</f>
        <v>OK</v>
      </c>
      <c r="T50" s="2" t="str">
        <f>IF(ROUND(T22,0)&lt;=ROUND(T21,0),"OK","ERROR")</f>
        <v>OK</v>
      </c>
      <c r="U50" s="2" t="str">
        <f>IF(ROUND(U22,0)&lt;=ROUND(U21,0),"OK","ERROR")</f>
        <v>OK</v>
      </c>
      <c r="V50"/>
      <c r="W50"/>
    </row>
    <row r="51" spans="2:23" x14ac:dyDescent="0.2">
      <c r="B51" s="4" t="s">
        <v>2</v>
      </c>
      <c r="C51" s="3"/>
      <c r="D51" s="2" t="str">
        <f>IF(ROUND(D25,0)&lt;=ROUND(D24,0),"OK","ERROR")</f>
        <v>OK</v>
      </c>
      <c r="E51" s="2" t="str">
        <f>IF(ROUND(E25,0)&gt;=ROUND(E24,0),"OK","ERROR")</f>
        <v>OK</v>
      </c>
      <c r="F51" s="2" t="str">
        <f t="shared" ref="F51:K51" si="9">IF(ROUND(F25,0)&lt;=ROUND(F24,0),"OK","ERROR")</f>
        <v>OK</v>
      </c>
      <c r="G51" s="2" t="str">
        <f t="shared" si="9"/>
        <v>OK</v>
      </c>
      <c r="H51" s="2" t="str">
        <f t="shared" si="9"/>
        <v>OK</v>
      </c>
      <c r="I51" s="2" t="str">
        <f t="shared" si="9"/>
        <v>OK</v>
      </c>
      <c r="J51" s="2" t="str">
        <f t="shared" si="9"/>
        <v>OK</v>
      </c>
      <c r="K51" s="2" t="str">
        <f t="shared" si="9"/>
        <v>OK</v>
      </c>
      <c r="L51"/>
      <c r="M51"/>
      <c r="N51"/>
      <c r="O51"/>
      <c r="P51"/>
      <c r="Q51" s="2" t="str">
        <f>IF(ROUND(Q25,0)&lt;=ROUND(Q24,0),"OK","ERROR")</f>
        <v>OK</v>
      </c>
      <c r="R51"/>
      <c r="S51" s="2" t="str">
        <f>IF(ROUND(S25,0)&lt;=ROUND(S24,0),"OK","ERROR")</f>
        <v>OK</v>
      </c>
      <c r="T51" s="2" t="str">
        <f>IF(ROUND(T25,0)&lt;=ROUND(T24,0),"OK","ERROR")</f>
        <v>OK</v>
      </c>
      <c r="U51" s="2" t="str">
        <f>IF(ROUND(U25,0)&lt;=ROUND(U24,0),"OK","ERROR")</f>
        <v>OK</v>
      </c>
      <c r="V51"/>
      <c r="W51"/>
    </row>
    <row r="52" spans="2:23" x14ac:dyDescent="0.2">
      <c r="B52" s="4" t="s">
        <v>1</v>
      </c>
      <c r="C52" s="3"/>
      <c r="D52" s="2" t="str">
        <f>IF(ROUND(D27,0)&lt;=ROUND(D26,0),"OK","ERROR")</f>
        <v>OK</v>
      </c>
      <c r="E52" s="2" t="str">
        <f>IF(ROUND(E27,0)&gt;=ROUND(E26,0),"OK","ERROR")</f>
        <v>OK</v>
      </c>
      <c r="F52" s="2" t="str">
        <f t="shared" ref="F52:K52" si="10">IF(ROUND(F27,0)&lt;=ROUND(F26,0),"OK","ERROR")</f>
        <v>OK</v>
      </c>
      <c r="G52" s="2" t="str">
        <f t="shared" si="10"/>
        <v>OK</v>
      </c>
      <c r="H52" s="2" t="str">
        <f t="shared" si="10"/>
        <v>OK</v>
      </c>
      <c r="I52" s="2" t="str">
        <f t="shared" si="10"/>
        <v>OK</v>
      </c>
      <c r="J52" s="2" t="str">
        <f t="shared" si="10"/>
        <v>OK</v>
      </c>
      <c r="K52" s="2" t="str">
        <f t="shared" si="10"/>
        <v>OK</v>
      </c>
      <c r="L52"/>
      <c r="M52"/>
      <c r="N52"/>
      <c r="O52"/>
      <c r="P52"/>
      <c r="Q52" s="2" t="str">
        <f>IF(ROUND(Q27,0)&lt;=ROUND(Q26,0),"OK","ERROR")</f>
        <v>OK</v>
      </c>
      <c r="R52"/>
      <c r="S52" s="2" t="str">
        <f>IF(ROUND(S27,0)&lt;=ROUND(S26,0),"OK","ERROR")</f>
        <v>OK</v>
      </c>
      <c r="T52" s="2" t="str">
        <f>IF(ROUND(T27,0)&lt;=ROUND(T26,0),"OK","ERROR")</f>
        <v>OK</v>
      </c>
      <c r="U52" s="2" t="str">
        <f>IF(ROUND(U27,0)&lt;=ROUND(U26,0),"OK","ERROR")</f>
        <v>OK</v>
      </c>
      <c r="V52"/>
      <c r="W52"/>
    </row>
    <row r="53" spans="2:23" x14ac:dyDescent="0.2">
      <c r="B53"/>
      <c r="C53"/>
      <c r="D53"/>
      <c r="E53"/>
      <c r="F53"/>
      <c r="G53"/>
      <c r="H53"/>
      <c r="I53"/>
      <c r="J53"/>
      <c r="K53"/>
      <c r="L53"/>
      <c r="M53"/>
      <c r="N53"/>
      <c r="O53"/>
      <c r="P53"/>
      <c r="Q53"/>
      <c r="R53"/>
      <c r="S53"/>
      <c r="T53"/>
      <c r="U53"/>
      <c r="V53"/>
      <c r="W53"/>
    </row>
    <row r="54" spans="2:23" x14ac:dyDescent="0.2">
      <c r="B54" s="4" t="s">
        <v>0</v>
      </c>
      <c r="C54" s="3"/>
      <c r="D54" s="2" t="str">
        <f>IF(ROUND(D33,0)&lt;=ROUND(D32,0),"OK","ERROR")</f>
        <v>OK</v>
      </c>
      <c r="E54" s="2" t="str">
        <f>IF(ROUND(E33,0)&gt;=ROUND(E32,0),"OK","ERROR")</f>
        <v>OK</v>
      </c>
      <c r="F54" s="2" t="str">
        <f t="shared" ref="F54:K54" si="11">IF(ROUND(F33,0)&lt;=ROUND(F32,0),"OK","ERROR")</f>
        <v>OK</v>
      </c>
      <c r="G54" s="2" t="str">
        <f t="shared" si="11"/>
        <v>OK</v>
      </c>
      <c r="H54" s="2" t="str">
        <f t="shared" si="11"/>
        <v>OK</v>
      </c>
      <c r="I54" s="2" t="str">
        <f t="shared" si="11"/>
        <v>OK</v>
      </c>
      <c r="J54" s="2" t="str">
        <f t="shared" si="11"/>
        <v>OK</v>
      </c>
      <c r="K54" s="2" t="str">
        <f t="shared" si="11"/>
        <v>OK</v>
      </c>
      <c r="L54"/>
      <c r="M54"/>
      <c r="N54"/>
      <c r="O54"/>
      <c r="P54"/>
      <c r="Q54" s="2" t="str">
        <f>IF(ROUND(Q33,0)&lt;=ROUND(Q32,0),"OK","ERROR")</f>
        <v>OK</v>
      </c>
      <c r="R54"/>
      <c r="S54" s="2" t="str">
        <f>IF(ROUND(S33,0)&lt;=ROUND(S32,0),"OK","ERROR")</f>
        <v>OK</v>
      </c>
      <c r="T54" s="2" t="str">
        <f>IF(ROUND(T33,0)&lt;=ROUND(T32,0),"OK","ERROR")</f>
        <v>OK</v>
      </c>
      <c r="U54" s="2" t="str">
        <f>IF(ROUND(U33,0)&lt;=ROUND(U32,0),"OK","ERROR")</f>
        <v>OK</v>
      </c>
      <c r="V54"/>
      <c r="W54"/>
    </row>
    <row r="55" spans="2:23" x14ac:dyDescent="0.2">
      <c r="V55"/>
      <c r="W55"/>
    </row>
  </sheetData>
  <mergeCells count="1">
    <mergeCell ref="U8:U12"/>
  </mergeCells>
  <conditionalFormatting sqref="D25">
    <cfRule type="cellIs" dxfId="11" priority="1" stopIfTrue="1" operator="equal">
      <formula>$D$49="ERROR"</formula>
    </cfRule>
  </conditionalFormatting>
  <printOptions gridLines="1" gridLinesSet="0"/>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colBreaks count="1" manualBreakCount="1">
    <brk id="11" max="34"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tabColor rgb="FFFF0000"/>
  </sheetPr>
  <dimension ref="A1:AF55"/>
  <sheetViews>
    <sheetView workbookViewId="0"/>
  </sheetViews>
  <sheetFormatPr defaultColWidth="11.42578125" defaultRowHeight="12.75" x14ac:dyDescent="0.2"/>
  <cols>
    <col min="1" max="1" width="8.42578125" style="1" customWidth="1"/>
    <col min="2" max="2" width="39.42578125" style="1" customWidth="1"/>
    <col min="3" max="3" width="4.5703125" style="1" customWidth="1"/>
    <col min="4" max="6" width="20.42578125" style="1" customWidth="1"/>
    <col min="7" max="7" width="15.5703125" style="1" customWidth="1"/>
    <col min="8" max="8" width="16.42578125" style="1" customWidth="1"/>
    <col min="9" max="9" width="15.5703125" style="1" customWidth="1"/>
    <col min="10" max="10" width="17.5703125" style="1" customWidth="1"/>
    <col min="11" max="11" width="24.5703125" style="1" customWidth="1"/>
    <col min="12" max="16" width="17.5703125" style="1" customWidth="1"/>
    <col min="17" max="20" width="20.42578125" style="1" customWidth="1"/>
    <col min="21" max="21" width="24.5703125" style="1" customWidth="1"/>
    <col min="22" max="22" width="4.5703125" style="1" customWidth="1"/>
    <col min="23" max="25" width="11.42578125" style="1" customWidth="1"/>
    <col min="26" max="26" width="21.5703125" style="1" customWidth="1"/>
    <col min="27" max="30" width="11.42578125" style="1" customWidth="1"/>
    <col min="31" max="31" width="21.5703125" style="1" customWidth="1"/>
    <col min="32" max="16384" width="11.42578125" style="1"/>
  </cols>
  <sheetData>
    <row r="1" spans="1:31" ht="25.35" customHeight="1" x14ac:dyDescent="0.25">
      <c r="A1" s="9"/>
      <c r="B1" s="9"/>
      <c r="C1" s="9"/>
      <c r="E1" s="78" t="s">
        <v>101</v>
      </c>
      <c r="G1" s="41"/>
      <c r="H1" s="41"/>
      <c r="I1" s="41"/>
      <c r="J1" s="101" t="s">
        <v>100</v>
      </c>
      <c r="K1" s="105" t="s">
        <v>104</v>
      </c>
      <c r="L1" s="41"/>
      <c r="M1" s="78" t="s">
        <v>101</v>
      </c>
      <c r="N1" s="41"/>
      <c r="O1" s="41"/>
      <c r="P1" s="41"/>
      <c r="Q1" s="41"/>
      <c r="R1" s="41"/>
      <c r="S1" s="41"/>
      <c r="T1" s="101" t="s">
        <v>100</v>
      </c>
      <c r="U1" s="105" t="str">
        <f>K1</f>
        <v>P_CRSABIS_02</v>
      </c>
      <c r="V1" s="41"/>
    </row>
    <row r="2" spans="1:31" ht="25.35" customHeight="1" x14ac:dyDescent="0.25">
      <c r="A2" s="9"/>
      <c r="B2" s="41"/>
      <c r="C2" s="9"/>
      <c r="E2" s="104" t="s">
        <v>99</v>
      </c>
      <c r="G2" s="41"/>
      <c r="H2" s="41"/>
      <c r="I2"/>
      <c r="J2" s="101" t="s">
        <v>98</v>
      </c>
      <c r="K2" s="103" t="s">
        <v>119</v>
      </c>
      <c r="L2" s="41"/>
      <c r="M2" s="104" t="s">
        <v>99</v>
      </c>
      <c r="N2" s="9"/>
      <c r="O2" s="41"/>
      <c r="P2" s="41"/>
      <c r="Q2" s="41"/>
      <c r="R2" s="41"/>
      <c r="S2" s="41"/>
      <c r="T2" s="101" t="s">
        <v>98</v>
      </c>
      <c r="U2" s="103" t="str">
        <f>K2</f>
        <v>XXXXXX</v>
      </c>
      <c r="V2" s="41"/>
    </row>
    <row r="3" spans="1:31" ht="25.35" customHeight="1" x14ac:dyDescent="0.25">
      <c r="A3" s="9"/>
      <c r="B3" s="41"/>
      <c r="C3" s="9"/>
      <c r="E3" s="102" t="s">
        <v>97</v>
      </c>
      <c r="G3" s="41"/>
      <c r="I3"/>
      <c r="J3" s="101" t="s">
        <v>96</v>
      </c>
      <c r="K3" s="100" t="s">
        <v>121</v>
      </c>
      <c r="L3" s="41"/>
      <c r="M3" s="102" t="s">
        <v>97</v>
      </c>
      <c r="N3" s="9"/>
      <c r="O3" s="41"/>
      <c r="P3" s="41"/>
      <c r="Q3" s="41"/>
      <c r="R3" s="41"/>
      <c r="S3" s="41"/>
      <c r="T3" s="101" t="s">
        <v>96</v>
      </c>
      <c r="U3" s="100" t="str">
        <f>K3</f>
        <v>DD.MM.YYYY</v>
      </c>
      <c r="V3" s="41"/>
    </row>
    <row r="4" spans="1:31" ht="25.35" customHeight="1" x14ac:dyDescent="0.25">
      <c r="A4" s="9"/>
      <c r="B4" s="41"/>
      <c r="C4" s="9"/>
      <c r="E4" s="97" t="s">
        <v>103</v>
      </c>
      <c r="H4" s="41"/>
      <c r="I4"/>
      <c r="J4" s="99"/>
      <c r="K4" s="98"/>
      <c r="L4" s="41"/>
      <c r="M4" s="97" t="s">
        <v>103</v>
      </c>
      <c r="N4" s="41"/>
      <c r="O4" s="41"/>
      <c r="P4" s="41"/>
      <c r="Q4" s="41"/>
      <c r="R4" s="41"/>
      <c r="S4" s="41"/>
      <c r="T4" s="41"/>
      <c r="U4" s="41"/>
      <c r="V4" s="41"/>
    </row>
    <row r="5" spans="1:31" ht="25.35" customHeight="1" x14ac:dyDescent="0.2">
      <c r="A5" s="9"/>
      <c r="B5" s="41"/>
      <c r="C5" s="9"/>
      <c r="E5" s="1" t="s">
        <v>94</v>
      </c>
      <c r="F5" s="41"/>
      <c r="G5" s="41"/>
      <c r="H5" s="41"/>
      <c r="I5" s="41"/>
      <c r="J5" s="41"/>
      <c r="K5" s="41"/>
      <c r="L5" s="41"/>
      <c r="M5" s="1" t="s">
        <v>94</v>
      </c>
      <c r="N5" s="41"/>
      <c r="O5" s="41"/>
      <c r="P5" s="41"/>
      <c r="Q5" s="41"/>
      <c r="R5" s="41"/>
      <c r="S5" s="41"/>
      <c r="T5" s="41"/>
      <c r="U5" s="41"/>
      <c r="V5" s="41"/>
    </row>
    <row r="6" spans="1:31" ht="25.35" customHeight="1" x14ac:dyDescent="0.2">
      <c r="A6" s="9"/>
      <c r="B6" s="41"/>
      <c r="C6" s="9"/>
      <c r="D6" s="9"/>
    </row>
    <row r="7" spans="1:31" ht="25.35" customHeight="1" x14ac:dyDescent="0.2">
      <c r="A7" s="12"/>
      <c r="B7" s="41"/>
      <c r="C7" s="12"/>
      <c r="D7" s="12"/>
      <c r="F7" s="41"/>
      <c r="G7" s="41"/>
      <c r="H7" s="41"/>
      <c r="I7" s="41"/>
      <c r="J7" s="60"/>
      <c r="K7" s="60"/>
      <c r="L7" s="41"/>
      <c r="N7" s="60"/>
      <c r="O7" s="41"/>
      <c r="P7" s="41"/>
      <c r="Q7" s="41"/>
      <c r="R7" s="41"/>
      <c r="S7" s="41"/>
      <c r="T7" s="41"/>
      <c r="U7" s="41"/>
      <c r="V7" s="60"/>
    </row>
    <row r="8" spans="1:31" ht="17.850000000000001" customHeight="1" x14ac:dyDescent="0.25">
      <c r="A8" s="96"/>
      <c r="B8" s="95"/>
      <c r="C8" s="88"/>
      <c r="D8" s="94" t="s">
        <v>93</v>
      </c>
      <c r="E8" s="94" t="s">
        <v>92</v>
      </c>
      <c r="F8" s="93" t="s">
        <v>90</v>
      </c>
      <c r="G8" s="81" t="s">
        <v>91</v>
      </c>
      <c r="H8" s="82"/>
      <c r="I8" s="82"/>
      <c r="J8" s="92"/>
      <c r="K8" s="80" t="s">
        <v>90</v>
      </c>
      <c r="L8" s="82" t="s">
        <v>89</v>
      </c>
      <c r="M8" s="91"/>
      <c r="N8" s="91"/>
      <c r="O8" s="91"/>
      <c r="P8" s="80"/>
      <c r="Q8" s="90" t="s">
        <v>88</v>
      </c>
      <c r="R8" s="90" t="s">
        <v>87</v>
      </c>
      <c r="S8" s="90" t="s">
        <v>86</v>
      </c>
      <c r="T8" s="89" t="s">
        <v>85</v>
      </c>
      <c r="U8" s="1676" t="s">
        <v>84</v>
      </c>
      <c r="V8" s="88"/>
      <c r="W8" s="71"/>
      <c r="X8" s="71"/>
      <c r="Y8" s="9"/>
      <c r="Z8" s="9"/>
    </row>
    <row r="9" spans="1:31" ht="17.850000000000001" customHeight="1" x14ac:dyDescent="0.25">
      <c r="A9" s="79"/>
      <c r="B9" s="78"/>
      <c r="C9" s="62"/>
      <c r="D9" s="77" t="s">
        <v>83</v>
      </c>
      <c r="E9" s="77" t="s">
        <v>82</v>
      </c>
      <c r="F9" s="70" t="s">
        <v>80</v>
      </c>
      <c r="G9" s="85" t="s">
        <v>81</v>
      </c>
      <c r="H9" s="87"/>
      <c r="I9" s="87"/>
      <c r="J9" s="66"/>
      <c r="K9" s="66" t="s">
        <v>80</v>
      </c>
      <c r="L9" s="86"/>
      <c r="M9" s="86"/>
      <c r="N9" s="86"/>
      <c r="O9" s="75"/>
      <c r="P9" s="72"/>
      <c r="Q9" s="63" t="s">
        <v>79</v>
      </c>
      <c r="R9" s="63" t="s">
        <v>78</v>
      </c>
      <c r="S9" s="63" t="s">
        <v>77</v>
      </c>
      <c r="T9" s="77" t="s">
        <v>76</v>
      </c>
      <c r="U9" s="1677"/>
      <c r="V9" s="62"/>
      <c r="W9" s="71"/>
      <c r="X9" s="71"/>
      <c r="Y9" s="9"/>
      <c r="Z9" s="9"/>
    </row>
    <row r="10" spans="1:31" ht="17.850000000000001" customHeight="1" x14ac:dyDescent="0.25">
      <c r="A10" s="79"/>
      <c r="B10" s="78"/>
      <c r="C10" s="62"/>
      <c r="D10" s="77" t="s">
        <v>75</v>
      </c>
      <c r="E10" s="77" t="s">
        <v>74</v>
      </c>
      <c r="F10" s="70" t="s">
        <v>73</v>
      </c>
      <c r="G10" s="85"/>
      <c r="H10" s="84"/>
      <c r="I10" s="84"/>
      <c r="J10" s="83"/>
      <c r="K10" s="66" t="s">
        <v>72</v>
      </c>
      <c r="L10" s="82" t="s">
        <v>71</v>
      </c>
      <c r="M10" s="80"/>
      <c r="N10" s="66" t="s">
        <v>70</v>
      </c>
      <c r="O10" s="81" t="s">
        <v>69</v>
      </c>
      <c r="P10" s="80"/>
      <c r="Q10" s="63" t="s">
        <v>68</v>
      </c>
      <c r="R10" s="63" t="s">
        <v>67</v>
      </c>
      <c r="S10" s="63" t="s">
        <v>66</v>
      </c>
      <c r="T10" s="63"/>
      <c r="U10" s="1677"/>
      <c r="V10" s="62"/>
      <c r="W10" s="71"/>
      <c r="X10" s="71"/>
      <c r="Y10" s="9"/>
      <c r="Z10" s="9"/>
    </row>
    <row r="11" spans="1:31" ht="17.850000000000001" customHeight="1" x14ac:dyDescent="0.25">
      <c r="A11" s="79"/>
      <c r="B11" s="78"/>
      <c r="C11" s="62"/>
      <c r="D11" s="77"/>
      <c r="E11" s="77" t="s">
        <v>65</v>
      </c>
      <c r="F11" s="70" t="s">
        <v>64</v>
      </c>
      <c r="G11" s="76"/>
      <c r="H11" s="75"/>
      <c r="I11" s="74"/>
      <c r="J11" s="72"/>
      <c r="K11" s="66" t="s">
        <v>63</v>
      </c>
      <c r="L11" s="74" t="s">
        <v>62</v>
      </c>
      <c r="M11" s="72"/>
      <c r="N11" s="72" t="s">
        <v>61</v>
      </c>
      <c r="O11" s="73" t="s">
        <v>60</v>
      </c>
      <c r="P11" s="72"/>
      <c r="Q11" s="63" t="s">
        <v>59</v>
      </c>
      <c r="R11" s="63" t="s">
        <v>58</v>
      </c>
      <c r="T11" s="63"/>
      <c r="U11" s="1677"/>
      <c r="V11" s="62"/>
      <c r="W11" s="71"/>
      <c r="X11" s="71"/>
      <c r="Y11" s="9"/>
      <c r="Z11" s="9"/>
    </row>
    <row r="12" spans="1:31" ht="85.35" customHeight="1" x14ac:dyDescent="0.2">
      <c r="A12" s="9"/>
      <c r="B12" s="9"/>
      <c r="C12" s="62"/>
      <c r="D12" s="63"/>
      <c r="E12" s="63" t="s">
        <v>57</v>
      </c>
      <c r="F12" s="70" t="s">
        <v>56</v>
      </c>
      <c r="G12" s="69" t="s">
        <v>34</v>
      </c>
      <c r="H12" s="67">
        <v>0.2</v>
      </c>
      <c r="I12" s="68">
        <v>0.5</v>
      </c>
      <c r="J12" s="67">
        <v>1</v>
      </c>
      <c r="K12" s="66" t="s">
        <v>55</v>
      </c>
      <c r="L12" s="65" t="s">
        <v>54</v>
      </c>
      <c r="M12" s="64" t="s">
        <v>53</v>
      </c>
      <c r="N12" s="64" t="s">
        <v>52</v>
      </c>
      <c r="O12" s="63" t="s">
        <v>51</v>
      </c>
      <c r="P12" s="63" t="s">
        <v>50</v>
      </c>
      <c r="Q12" s="63" t="s">
        <v>49</v>
      </c>
      <c r="R12" s="63" t="s">
        <v>48</v>
      </c>
      <c r="S12" s="63"/>
      <c r="T12" s="63"/>
      <c r="U12" s="1677"/>
      <c r="V12" s="62"/>
      <c r="W12" s="61"/>
      <c r="X12" s="61"/>
      <c r="Y12" s="61"/>
      <c r="Z12" s="61"/>
    </row>
    <row r="13" spans="1:31" ht="25.35" customHeight="1" x14ac:dyDescent="0.2">
      <c r="A13" s="41"/>
      <c r="B13" s="60"/>
      <c r="C13" s="58"/>
      <c r="D13" s="59" t="s">
        <v>22</v>
      </c>
      <c r="E13" s="59" t="s">
        <v>21</v>
      </c>
      <c r="F13" s="59" t="s">
        <v>20</v>
      </c>
      <c r="G13" s="59" t="s">
        <v>19</v>
      </c>
      <c r="H13" s="59" t="s">
        <v>18</v>
      </c>
      <c r="I13" s="59" t="s">
        <v>17</v>
      </c>
      <c r="J13" s="59" t="s">
        <v>16</v>
      </c>
      <c r="K13" s="59" t="s">
        <v>15</v>
      </c>
      <c r="L13" s="59" t="s">
        <v>14</v>
      </c>
      <c r="M13" s="59" t="s">
        <v>13</v>
      </c>
      <c r="N13" s="59" t="s">
        <v>12</v>
      </c>
      <c r="O13" s="59" t="s">
        <v>11</v>
      </c>
      <c r="P13" s="59" t="s">
        <v>10</v>
      </c>
      <c r="Q13" s="59" t="s">
        <v>9</v>
      </c>
      <c r="R13" s="59" t="s">
        <v>8</v>
      </c>
      <c r="S13" s="59" t="s">
        <v>7</v>
      </c>
      <c r="T13" s="59" t="s">
        <v>6</v>
      </c>
      <c r="U13" s="59" t="s">
        <v>5</v>
      </c>
      <c r="V13" s="58"/>
      <c r="X13" s="9" t="s">
        <v>47</v>
      </c>
      <c r="Y13" s="9" t="s">
        <v>46</v>
      </c>
      <c r="Z13" s="9" t="s">
        <v>45</v>
      </c>
      <c r="AA13" s="9" t="s">
        <v>44</v>
      </c>
      <c r="AB13" s="9" t="s">
        <v>43</v>
      </c>
      <c r="AC13" s="9" t="s">
        <v>42</v>
      </c>
      <c r="AD13" s="9" t="s">
        <v>41</v>
      </c>
      <c r="AE13" s="9" t="s">
        <v>40</v>
      </c>
    </row>
    <row r="14" spans="1:31" ht="25.35" customHeight="1" thickBot="1" x14ac:dyDescent="0.25">
      <c r="A14" s="57"/>
      <c r="B14" s="56" t="s">
        <v>39</v>
      </c>
      <c r="C14" s="31">
        <v>1</v>
      </c>
      <c r="D14" s="32">
        <f>SUM(D19:D21,D23:D24,D26,D28,D32,D34)</f>
        <v>0</v>
      </c>
      <c r="E14" s="32">
        <f>SUM(E19:E21,E23:E24,E26,E28,E32,E34)</f>
        <v>0</v>
      </c>
      <c r="F14" s="32">
        <f>D14+E14</f>
        <v>0</v>
      </c>
      <c r="G14" s="32">
        <f>SUM(G19:G21,G23:G24,G26,G28,G32,G34)</f>
        <v>0</v>
      </c>
      <c r="H14" s="32">
        <f>SUM(H19:H21,H23:H24,H26,H28,H32,H34)</f>
        <v>0</v>
      </c>
      <c r="I14" s="32">
        <f>SUM(I19:I21,I23:I24,I26,I28,I32,I34)</f>
        <v>0</v>
      </c>
      <c r="J14" s="32">
        <f>SUM(J19:J21,J23:J24,J26,J28,J32,J34)</f>
        <v>0</v>
      </c>
      <c r="K14" s="55">
        <f>F14-G14-0.8*H14-0.5*I14</f>
        <v>0</v>
      </c>
      <c r="L14" s="54"/>
      <c r="M14" s="33"/>
      <c r="N14" s="37"/>
      <c r="O14" s="32">
        <f>(L14+M14+N14)*-1</f>
        <v>0</v>
      </c>
      <c r="P14" s="33"/>
      <c r="Q14" s="32">
        <f>SUM(Q19:Q21,Q23:Q24,Q26,Q28,Q32,Q34)</f>
        <v>0</v>
      </c>
      <c r="R14" s="33"/>
      <c r="S14" s="32">
        <f>SUM(S19:S21,S23:S24,S26,S28,S32,S34)</f>
        <v>0</v>
      </c>
      <c r="T14" s="32">
        <f>SUM(T19:T21,T23:T24,T26,T28,T32,T34)</f>
        <v>0</v>
      </c>
      <c r="U14" s="32">
        <f>T14*0.08</f>
        <v>0</v>
      </c>
      <c r="V14" s="31">
        <v>1</v>
      </c>
      <c r="W14" s="23"/>
      <c r="X14" s="53" t="str">
        <f>IF(D14&gt;=0,"OK","ERROR")</f>
        <v>OK</v>
      </c>
      <c r="Y14" s="53" t="str">
        <f>IF(E14&lt;=0,"OK","ERROR")</f>
        <v>OK</v>
      </c>
      <c r="Z14" s="53" t="str">
        <f>IF(MIN(F14:N14)&gt;=0,"OK","ERROR")</f>
        <v>OK</v>
      </c>
      <c r="AA14" s="53" t="str">
        <f>IF(O14&lt;=0,"OK","ERROR")</f>
        <v>OK</v>
      </c>
      <c r="AB14" s="53" t="str">
        <f>IF(P14&gt;=0,"OK","ERROR")</f>
        <v>OK</v>
      </c>
      <c r="AC14" s="53" t="str">
        <f>IF(Q14&gt;=0,"OK","ERROR")</f>
        <v>OK</v>
      </c>
      <c r="AD14" s="53" t="str">
        <f>IF(R14&lt;=0,"OK","ERROR")</f>
        <v>OK</v>
      </c>
      <c r="AE14" s="53" t="str">
        <f>IF(MIN(S14:U14)&gt;=0,"OK","ERROR")</f>
        <v>OK</v>
      </c>
    </row>
    <row r="15" spans="1:31" ht="37.5" customHeight="1" thickTop="1" x14ac:dyDescent="0.2">
      <c r="A15" s="39"/>
      <c r="B15" s="47" t="s">
        <v>38</v>
      </c>
      <c r="C15" s="31"/>
      <c r="D15" s="46"/>
      <c r="E15" s="46"/>
      <c r="F15" s="46"/>
      <c r="G15" s="46"/>
      <c r="H15" s="46"/>
      <c r="I15" s="46"/>
      <c r="J15" s="46"/>
      <c r="K15" s="46"/>
      <c r="L15" s="46"/>
      <c r="M15" s="46"/>
      <c r="N15" s="46"/>
      <c r="O15" s="46"/>
      <c r="P15" s="46"/>
      <c r="Q15" s="46"/>
      <c r="R15" s="46"/>
      <c r="S15" s="46"/>
      <c r="T15" s="46"/>
      <c r="U15" s="46"/>
      <c r="V15" s="31"/>
      <c r="W15" s="45"/>
      <c r="X15" s="52"/>
      <c r="Y15" s="52"/>
      <c r="Z15" s="52"/>
      <c r="AA15" s="9"/>
      <c r="AB15" s="51"/>
      <c r="AC15" s="9"/>
      <c r="AD15" s="9"/>
      <c r="AE15" s="50"/>
    </row>
    <row r="16" spans="1:31" ht="25.35" customHeight="1" thickBot="1" x14ac:dyDescent="0.25">
      <c r="A16" s="39"/>
      <c r="B16" s="48" t="s">
        <v>37</v>
      </c>
      <c r="C16" s="31">
        <v>2</v>
      </c>
      <c r="D16" s="33"/>
      <c r="E16" s="33"/>
      <c r="F16" s="32">
        <f>D16+E16</f>
        <v>0</v>
      </c>
      <c r="G16" s="34"/>
      <c r="H16" s="34"/>
      <c r="I16" s="34"/>
      <c r="J16" s="49"/>
      <c r="K16" s="36">
        <f>F16</f>
        <v>0</v>
      </c>
      <c r="L16" s="35"/>
      <c r="M16" s="34"/>
      <c r="N16" s="34"/>
      <c r="O16" s="34"/>
      <c r="P16" s="34"/>
      <c r="Q16" s="33"/>
      <c r="R16" s="34"/>
      <c r="S16" s="33"/>
      <c r="T16" s="33"/>
      <c r="U16" s="32">
        <f>T16*0.08</f>
        <v>0</v>
      </c>
      <c r="V16" s="31">
        <v>2</v>
      </c>
      <c r="W16" s="23"/>
      <c r="X16" s="2" t="str">
        <f>IF(D16&gt;=0,"OK","ERROR")</f>
        <v>OK</v>
      </c>
      <c r="Y16" s="2" t="str">
        <f>IF(E16&lt;=0,"OK","ERROR")</f>
        <v>OK</v>
      </c>
      <c r="Z16" s="2" t="str">
        <f>IF(MIN(F16:N16)&gt;=0,"OK","ERROR")</f>
        <v>OK</v>
      </c>
      <c r="AA16" s="9"/>
      <c r="AB16" s="9"/>
      <c r="AC16" s="2" t="str">
        <f>IF(Q16&gt;=0,"OK","ERROR")</f>
        <v>OK</v>
      </c>
      <c r="AD16" s="9"/>
      <c r="AE16" s="2" t="str">
        <f>IF(MIN(S16:U16)&gt;=0,"OK","ERROR")</f>
        <v>OK</v>
      </c>
    </row>
    <row r="17" spans="1:32" ht="25.35" customHeight="1" thickTop="1" thickBot="1" x14ac:dyDescent="0.25">
      <c r="A17" s="39"/>
      <c r="B17" s="48" t="s">
        <v>36</v>
      </c>
      <c r="C17" s="31">
        <v>3</v>
      </c>
      <c r="D17" s="33"/>
      <c r="E17" s="33"/>
      <c r="F17" s="32">
        <f>D17+E17</f>
        <v>0</v>
      </c>
      <c r="G17" s="33"/>
      <c r="H17" s="33"/>
      <c r="I17" s="33"/>
      <c r="J17" s="37"/>
      <c r="K17" s="36">
        <f>F17-G17-0.8*H17-0.5*I17</f>
        <v>0</v>
      </c>
      <c r="L17" s="35"/>
      <c r="M17" s="34"/>
      <c r="N17" s="34"/>
      <c r="O17" s="34"/>
      <c r="P17" s="34"/>
      <c r="Q17" s="33"/>
      <c r="R17" s="34"/>
      <c r="S17" s="33"/>
      <c r="T17" s="33"/>
      <c r="U17" s="32">
        <f>T17*0.08</f>
        <v>0</v>
      </c>
      <c r="V17" s="31">
        <v>3</v>
      </c>
      <c r="W17" s="23"/>
      <c r="X17" s="2" t="str">
        <f>IF(D17&gt;=0,"OK","ERROR")</f>
        <v>OK</v>
      </c>
      <c r="Y17" s="2" t="str">
        <f>IF(E17&lt;=0,"OK","ERROR")</f>
        <v>OK</v>
      </c>
      <c r="Z17" s="2" t="str">
        <f>IF(MIN(F17:N17)&gt;=0,"OK","ERROR")</f>
        <v>OK</v>
      </c>
      <c r="AA17" s="9"/>
      <c r="AB17" s="9"/>
      <c r="AC17" s="2" t="str">
        <f>IF(Q17&gt;=0,"OK","ERROR")</f>
        <v>OK</v>
      </c>
      <c r="AD17" s="9"/>
      <c r="AE17" s="2" t="str">
        <f>IF(MIN(S17:U17)&gt;=0,"OK","ERROR")</f>
        <v>OK</v>
      </c>
    </row>
    <row r="18" spans="1:32" ht="55.35" customHeight="1" thickTop="1" x14ac:dyDescent="0.2">
      <c r="A18" s="39"/>
      <c r="B18" s="47" t="s">
        <v>35</v>
      </c>
      <c r="C18" s="31"/>
      <c r="D18" s="46"/>
      <c r="E18" s="46"/>
      <c r="F18" s="46"/>
      <c r="G18" s="46"/>
      <c r="H18" s="46"/>
      <c r="I18" s="46"/>
      <c r="J18" s="46"/>
      <c r="K18" s="46"/>
      <c r="L18" s="46"/>
      <c r="M18" s="46"/>
      <c r="N18" s="46"/>
      <c r="O18" s="46"/>
      <c r="P18" s="46"/>
      <c r="Q18" s="46"/>
      <c r="R18" s="46"/>
      <c r="S18" s="46"/>
      <c r="T18" s="46"/>
      <c r="U18" s="46"/>
      <c r="V18" s="31"/>
      <c r="W18" s="45"/>
      <c r="X18" s="24"/>
      <c r="Y18" s="27"/>
      <c r="Z18" s="44"/>
      <c r="AA18" s="9"/>
      <c r="AB18" s="9"/>
      <c r="AC18" s="9"/>
      <c r="AD18" s="9"/>
      <c r="AE18" s="9"/>
      <c r="AF18" s="9"/>
    </row>
    <row r="19" spans="1:32" ht="25.35" customHeight="1" thickBot="1" x14ac:dyDescent="0.25">
      <c r="A19" s="39"/>
      <c r="B19" s="43" t="s">
        <v>34</v>
      </c>
      <c r="C19" s="31">
        <v>4</v>
      </c>
      <c r="D19" s="33"/>
      <c r="E19" s="33"/>
      <c r="F19" s="32">
        <f t="shared" ref="F19:F34" si="0">D19+E19</f>
        <v>0</v>
      </c>
      <c r="G19" s="33"/>
      <c r="H19" s="33"/>
      <c r="I19" s="33"/>
      <c r="J19" s="37"/>
      <c r="K19" s="36">
        <f t="shared" ref="K19:K34" si="1">F19-G19-0.8*H19-0.5*I19</f>
        <v>0</v>
      </c>
      <c r="L19" s="35"/>
      <c r="M19" s="34"/>
      <c r="N19" s="34"/>
      <c r="O19" s="34"/>
      <c r="P19" s="34"/>
      <c r="Q19" s="33"/>
      <c r="R19" s="34"/>
      <c r="S19" s="33"/>
      <c r="T19" s="34"/>
      <c r="U19" s="34"/>
      <c r="V19" s="31">
        <v>4</v>
      </c>
      <c r="W19" s="23"/>
      <c r="X19" s="2" t="str">
        <f t="shared" ref="X19:X34" si="2">IF(D19&gt;=0,"OK","ERROR")</f>
        <v>OK</v>
      </c>
      <c r="Y19" s="2" t="str">
        <f t="shared" ref="Y19:Y34" si="3">IF(E19&lt;=0,"OK","ERROR")</f>
        <v>OK</v>
      </c>
      <c r="Z19" s="2" t="str">
        <f t="shared" ref="Z19:Z34" si="4">IF(MIN(F19:N19)&gt;=0,"OK","ERROR")</f>
        <v>OK</v>
      </c>
      <c r="AA19" s="9"/>
      <c r="AB19" s="9"/>
      <c r="AC19" s="2" t="str">
        <f t="shared" ref="AC19:AC34" si="5">IF(Q19&gt;=0,"OK","ERROR")</f>
        <v>OK</v>
      </c>
      <c r="AD19" s="9"/>
      <c r="AE19" s="2" t="str">
        <f t="shared" ref="AE19:AE34" si="6">IF(MIN(S19:U19)&gt;=0,"OK","ERROR")</f>
        <v>OK</v>
      </c>
    </row>
    <row r="20" spans="1:32" ht="25.35" customHeight="1" thickTop="1" thickBot="1" x14ac:dyDescent="0.25">
      <c r="A20" s="39"/>
      <c r="B20" s="38">
        <v>0.1</v>
      </c>
      <c r="C20" s="31">
        <v>19</v>
      </c>
      <c r="D20" s="33"/>
      <c r="E20" s="33"/>
      <c r="F20" s="32">
        <f t="shared" si="0"/>
        <v>0</v>
      </c>
      <c r="G20" s="33"/>
      <c r="H20" s="33"/>
      <c r="I20" s="33"/>
      <c r="J20" s="37"/>
      <c r="K20" s="36">
        <f t="shared" si="1"/>
        <v>0</v>
      </c>
      <c r="L20" s="35"/>
      <c r="M20" s="34"/>
      <c r="N20" s="34"/>
      <c r="O20" s="34"/>
      <c r="P20" s="34"/>
      <c r="Q20" s="33"/>
      <c r="R20" s="34"/>
      <c r="S20" s="33"/>
      <c r="T20" s="32">
        <f>S20*0.1</f>
        <v>0</v>
      </c>
      <c r="U20" s="32">
        <f t="shared" ref="U20:U34" si="7">T20*0.08</f>
        <v>0</v>
      </c>
      <c r="V20" s="31">
        <v>19</v>
      </c>
      <c r="W20" s="23"/>
      <c r="X20" s="2" t="str">
        <f t="shared" si="2"/>
        <v>OK</v>
      </c>
      <c r="Y20" s="2" t="str">
        <f t="shared" si="3"/>
        <v>OK</v>
      </c>
      <c r="Z20" s="2" t="str">
        <f t="shared" si="4"/>
        <v>OK</v>
      </c>
      <c r="AA20" s="9"/>
      <c r="AB20" s="9"/>
      <c r="AC20" s="2" t="str">
        <f t="shared" si="5"/>
        <v>OK</v>
      </c>
      <c r="AD20" s="9"/>
      <c r="AE20" s="2" t="str">
        <f t="shared" si="6"/>
        <v>OK</v>
      </c>
    </row>
    <row r="21" spans="1:32" ht="25.35" customHeight="1" thickTop="1" thickBot="1" x14ac:dyDescent="0.25">
      <c r="A21" s="39"/>
      <c r="B21" s="38" t="s">
        <v>33</v>
      </c>
      <c r="C21" s="31">
        <v>5</v>
      </c>
      <c r="D21" s="33"/>
      <c r="E21" s="33"/>
      <c r="F21" s="32">
        <f t="shared" si="0"/>
        <v>0</v>
      </c>
      <c r="G21" s="33"/>
      <c r="H21" s="33"/>
      <c r="I21" s="33"/>
      <c r="J21" s="37"/>
      <c r="K21" s="36">
        <f t="shared" si="1"/>
        <v>0</v>
      </c>
      <c r="L21" s="35"/>
      <c r="M21" s="34"/>
      <c r="N21" s="34"/>
      <c r="O21" s="34"/>
      <c r="P21" s="34"/>
      <c r="Q21" s="33"/>
      <c r="R21" s="34"/>
      <c r="S21" s="33"/>
      <c r="T21" s="32">
        <f>S21*0.2</f>
        <v>0</v>
      </c>
      <c r="U21" s="32">
        <f t="shared" si="7"/>
        <v>0</v>
      </c>
      <c r="V21" s="31">
        <v>5</v>
      </c>
      <c r="W21" s="23"/>
      <c r="X21" s="2" t="str">
        <f t="shared" si="2"/>
        <v>OK</v>
      </c>
      <c r="Y21" s="2" t="str">
        <f t="shared" si="3"/>
        <v>OK</v>
      </c>
      <c r="Z21" s="2" t="str">
        <f t="shared" si="4"/>
        <v>OK</v>
      </c>
      <c r="AA21" s="9"/>
      <c r="AB21" s="9"/>
      <c r="AC21" s="2" t="str">
        <f t="shared" si="5"/>
        <v>OK</v>
      </c>
      <c r="AD21" s="9"/>
      <c r="AE21" s="2" t="str">
        <f t="shared" si="6"/>
        <v>OK</v>
      </c>
    </row>
    <row r="22" spans="1:32" ht="25.35" customHeight="1" thickTop="1" thickBot="1" x14ac:dyDescent="0.25">
      <c r="A22" s="42"/>
      <c r="B22" s="38" t="s">
        <v>29</v>
      </c>
      <c r="C22" s="31">
        <v>6</v>
      </c>
      <c r="D22" s="33"/>
      <c r="E22" s="33"/>
      <c r="F22" s="32">
        <f t="shared" si="0"/>
        <v>0</v>
      </c>
      <c r="G22" s="33"/>
      <c r="H22" s="33"/>
      <c r="I22" s="33"/>
      <c r="J22" s="37"/>
      <c r="K22" s="36">
        <f t="shared" si="1"/>
        <v>0</v>
      </c>
      <c r="L22" s="35"/>
      <c r="M22" s="34"/>
      <c r="N22" s="34"/>
      <c r="O22" s="34"/>
      <c r="P22" s="34"/>
      <c r="Q22" s="33"/>
      <c r="R22" s="34"/>
      <c r="S22" s="33"/>
      <c r="T22" s="32">
        <f>S22*0.2</f>
        <v>0</v>
      </c>
      <c r="U22" s="32">
        <f t="shared" si="7"/>
        <v>0</v>
      </c>
      <c r="V22" s="31">
        <v>6</v>
      </c>
      <c r="W22" s="23"/>
      <c r="X22" s="2" t="str">
        <f t="shared" si="2"/>
        <v>OK</v>
      </c>
      <c r="Y22" s="2" t="str">
        <f t="shared" si="3"/>
        <v>OK</v>
      </c>
      <c r="Z22" s="2" t="str">
        <f t="shared" si="4"/>
        <v>OK</v>
      </c>
      <c r="AA22" s="9"/>
      <c r="AB22" s="9"/>
      <c r="AC22" s="2" t="str">
        <f t="shared" si="5"/>
        <v>OK</v>
      </c>
      <c r="AD22" s="9"/>
      <c r="AE22" s="2" t="str">
        <f t="shared" si="6"/>
        <v>OK</v>
      </c>
    </row>
    <row r="23" spans="1:32" ht="20.85" customHeight="1" thickTop="1" thickBot="1" x14ac:dyDescent="0.25">
      <c r="A23" s="41"/>
      <c r="B23" s="38">
        <v>0.35</v>
      </c>
      <c r="C23" s="31">
        <v>7</v>
      </c>
      <c r="D23" s="33"/>
      <c r="E23" s="33"/>
      <c r="F23" s="32">
        <f t="shared" si="0"/>
        <v>0</v>
      </c>
      <c r="G23" s="33"/>
      <c r="H23" s="33"/>
      <c r="I23" s="33"/>
      <c r="J23" s="37"/>
      <c r="K23" s="36">
        <f t="shared" si="1"/>
        <v>0</v>
      </c>
      <c r="L23" s="35"/>
      <c r="M23" s="34"/>
      <c r="N23" s="34"/>
      <c r="O23" s="34"/>
      <c r="P23" s="34"/>
      <c r="Q23" s="33"/>
      <c r="R23" s="34"/>
      <c r="S23" s="33"/>
      <c r="T23" s="32">
        <f>S23*0.35</f>
        <v>0</v>
      </c>
      <c r="U23" s="32">
        <f t="shared" si="7"/>
        <v>0</v>
      </c>
      <c r="V23" s="31">
        <v>7</v>
      </c>
      <c r="W23" s="23"/>
      <c r="X23" s="2" t="str">
        <f t="shared" si="2"/>
        <v>OK</v>
      </c>
      <c r="Y23" s="2" t="str">
        <f t="shared" si="3"/>
        <v>OK</v>
      </c>
      <c r="Z23" s="2" t="str">
        <f t="shared" si="4"/>
        <v>OK</v>
      </c>
      <c r="AA23" s="9"/>
      <c r="AB23" s="9"/>
      <c r="AC23" s="2" t="str">
        <f t="shared" si="5"/>
        <v>OK</v>
      </c>
      <c r="AD23" s="9"/>
      <c r="AE23" s="2" t="str">
        <f t="shared" si="6"/>
        <v>OK</v>
      </c>
    </row>
    <row r="24" spans="1:32" ht="25.35" customHeight="1" thickTop="1" thickBot="1" x14ac:dyDescent="0.25">
      <c r="A24" s="39"/>
      <c r="B24" s="38" t="s">
        <v>32</v>
      </c>
      <c r="C24" s="31">
        <v>8</v>
      </c>
      <c r="D24" s="33"/>
      <c r="E24" s="33"/>
      <c r="F24" s="32">
        <f t="shared" si="0"/>
        <v>0</v>
      </c>
      <c r="G24" s="33"/>
      <c r="H24" s="33"/>
      <c r="I24" s="33"/>
      <c r="J24" s="37"/>
      <c r="K24" s="36">
        <f t="shared" si="1"/>
        <v>0</v>
      </c>
      <c r="L24" s="35"/>
      <c r="M24" s="34"/>
      <c r="N24" s="34"/>
      <c r="O24" s="34"/>
      <c r="P24" s="34"/>
      <c r="Q24" s="33"/>
      <c r="R24" s="34"/>
      <c r="S24" s="33"/>
      <c r="T24" s="32">
        <f>S24*0.5</f>
        <v>0</v>
      </c>
      <c r="U24" s="32">
        <f t="shared" si="7"/>
        <v>0</v>
      </c>
      <c r="V24" s="31">
        <v>8</v>
      </c>
      <c r="W24" s="23"/>
      <c r="X24" s="2" t="str">
        <f t="shared" si="2"/>
        <v>OK</v>
      </c>
      <c r="Y24" s="2" t="str">
        <f t="shared" si="3"/>
        <v>OK</v>
      </c>
      <c r="Z24" s="2" t="str">
        <f t="shared" si="4"/>
        <v>OK</v>
      </c>
      <c r="AA24" s="9"/>
      <c r="AB24" s="9"/>
      <c r="AC24" s="2" t="str">
        <f t="shared" si="5"/>
        <v>OK</v>
      </c>
      <c r="AD24" s="9"/>
      <c r="AE24" s="2" t="str">
        <f t="shared" si="6"/>
        <v>OK</v>
      </c>
    </row>
    <row r="25" spans="1:32" ht="25.35" customHeight="1" thickTop="1" thickBot="1" x14ac:dyDescent="0.25">
      <c r="A25" s="39"/>
      <c r="B25" s="38" t="s">
        <v>29</v>
      </c>
      <c r="C25" s="31">
        <v>9</v>
      </c>
      <c r="D25" s="33"/>
      <c r="E25" s="33"/>
      <c r="F25" s="32">
        <f t="shared" si="0"/>
        <v>0</v>
      </c>
      <c r="G25" s="33"/>
      <c r="H25" s="33"/>
      <c r="I25" s="33"/>
      <c r="J25" s="37"/>
      <c r="K25" s="36">
        <f t="shared" si="1"/>
        <v>0</v>
      </c>
      <c r="L25" s="35"/>
      <c r="M25" s="34"/>
      <c r="N25" s="34"/>
      <c r="O25" s="34"/>
      <c r="P25" s="34"/>
      <c r="Q25" s="33"/>
      <c r="R25" s="34"/>
      <c r="S25" s="33"/>
      <c r="T25" s="32">
        <f>S25*0.5</f>
        <v>0</v>
      </c>
      <c r="U25" s="32">
        <f t="shared" si="7"/>
        <v>0</v>
      </c>
      <c r="V25" s="31">
        <v>9</v>
      </c>
      <c r="W25" s="23"/>
      <c r="X25" s="2" t="str">
        <f t="shared" si="2"/>
        <v>OK</v>
      </c>
      <c r="Y25" s="2" t="str">
        <f t="shared" si="3"/>
        <v>OK</v>
      </c>
      <c r="Z25" s="2" t="str">
        <f t="shared" si="4"/>
        <v>OK</v>
      </c>
      <c r="AA25" s="9"/>
      <c r="AB25" s="9"/>
      <c r="AC25" s="2" t="str">
        <f t="shared" si="5"/>
        <v>OK</v>
      </c>
      <c r="AD25" s="9"/>
      <c r="AE25" s="2" t="str">
        <f t="shared" si="6"/>
        <v>OK</v>
      </c>
    </row>
    <row r="26" spans="1:32" ht="25.35" customHeight="1" thickTop="1" thickBot="1" x14ac:dyDescent="0.25">
      <c r="A26" s="39"/>
      <c r="B26" s="38" t="s">
        <v>31</v>
      </c>
      <c r="C26" s="31">
        <v>11</v>
      </c>
      <c r="D26" s="33"/>
      <c r="E26" s="33"/>
      <c r="F26" s="32">
        <f t="shared" si="0"/>
        <v>0</v>
      </c>
      <c r="G26" s="33"/>
      <c r="H26" s="33"/>
      <c r="I26" s="33"/>
      <c r="J26" s="37"/>
      <c r="K26" s="36">
        <f t="shared" si="1"/>
        <v>0</v>
      </c>
      <c r="L26" s="35"/>
      <c r="M26" s="34"/>
      <c r="N26" s="34"/>
      <c r="O26" s="34"/>
      <c r="P26" s="34"/>
      <c r="Q26" s="33"/>
      <c r="R26" s="34"/>
      <c r="S26" s="33"/>
      <c r="T26" s="32">
        <f>S26*0.75</f>
        <v>0</v>
      </c>
      <c r="U26" s="32">
        <f t="shared" si="7"/>
        <v>0</v>
      </c>
      <c r="V26" s="31">
        <v>11</v>
      </c>
      <c r="W26" s="23"/>
      <c r="X26" s="2" t="str">
        <f t="shared" si="2"/>
        <v>OK</v>
      </c>
      <c r="Y26" s="2" t="str">
        <f t="shared" si="3"/>
        <v>OK</v>
      </c>
      <c r="Z26" s="2" t="str">
        <f t="shared" si="4"/>
        <v>OK</v>
      </c>
      <c r="AA26" s="9"/>
      <c r="AB26" s="9"/>
      <c r="AC26" s="2" t="str">
        <f t="shared" si="5"/>
        <v>OK</v>
      </c>
      <c r="AD26" s="9"/>
      <c r="AE26" s="2" t="str">
        <f t="shared" si="6"/>
        <v>OK</v>
      </c>
    </row>
    <row r="27" spans="1:32" ht="25.35" customHeight="1" thickTop="1" thickBot="1" x14ac:dyDescent="0.25">
      <c r="A27" s="39"/>
      <c r="B27" s="40" t="s">
        <v>28</v>
      </c>
      <c r="C27" s="31">
        <v>20</v>
      </c>
      <c r="D27" s="33"/>
      <c r="E27" s="33"/>
      <c r="F27" s="32">
        <f t="shared" si="0"/>
        <v>0</v>
      </c>
      <c r="G27" s="33"/>
      <c r="H27" s="33"/>
      <c r="I27" s="33"/>
      <c r="J27" s="37"/>
      <c r="K27" s="36">
        <f t="shared" si="1"/>
        <v>0</v>
      </c>
      <c r="L27" s="35"/>
      <c r="M27" s="34"/>
      <c r="N27" s="34"/>
      <c r="O27" s="34"/>
      <c r="P27" s="34"/>
      <c r="Q27" s="33"/>
      <c r="R27" s="34"/>
      <c r="S27" s="33"/>
      <c r="T27" s="32">
        <f>S27*0.75</f>
        <v>0</v>
      </c>
      <c r="U27" s="32">
        <f t="shared" si="7"/>
        <v>0</v>
      </c>
      <c r="V27" s="31">
        <v>20</v>
      </c>
      <c r="W27" s="23"/>
      <c r="X27" s="2" t="str">
        <f t="shared" si="2"/>
        <v>OK</v>
      </c>
      <c r="Y27" s="2" t="str">
        <f t="shared" si="3"/>
        <v>OK</v>
      </c>
      <c r="Z27" s="2" t="str">
        <f t="shared" si="4"/>
        <v>OK</v>
      </c>
      <c r="AA27" s="9"/>
      <c r="AB27" s="9"/>
      <c r="AC27" s="2" t="str">
        <f t="shared" si="5"/>
        <v>OK</v>
      </c>
      <c r="AD27" s="9"/>
      <c r="AE27" s="2" t="str">
        <f t="shared" si="6"/>
        <v>OK</v>
      </c>
    </row>
    <row r="28" spans="1:32" ht="24.6" customHeight="1" thickTop="1" thickBot="1" x14ac:dyDescent="0.25">
      <c r="A28" s="39"/>
      <c r="B28" s="38" t="s">
        <v>30</v>
      </c>
      <c r="C28" s="31">
        <v>12</v>
      </c>
      <c r="D28" s="33"/>
      <c r="E28" s="33"/>
      <c r="F28" s="32">
        <f t="shared" si="0"/>
        <v>0</v>
      </c>
      <c r="G28" s="33"/>
      <c r="H28" s="33"/>
      <c r="I28" s="33"/>
      <c r="J28" s="37"/>
      <c r="K28" s="36">
        <f t="shared" si="1"/>
        <v>0</v>
      </c>
      <c r="L28" s="35"/>
      <c r="M28" s="34"/>
      <c r="N28" s="34"/>
      <c r="O28" s="34"/>
      <c r="P28" s="34"/>
      <c r="Q28" s="33"/>
      <c r="R28" s="34"/>
      <c r="S28" s="33"/>
      <c r="T28" s="32">
        <f>S28*1</f>
        <v>0</v>
      </c>
      <c r="U28" s="32">
        <f t="shared" si="7"/>
        <v>0</v>
      </c>
      <c r="V28" s="31">
        <v>12</v>
      </c>
      <c r="W28" s="23"/>
      <c r="X28" s="2" t="str">
        <f t="shared" si="2"/>
        <v>OK</v>
      </c>
      <c r="Y28" s="2" t="str">
        <f t="shared" si="3"/>
        <v>OK</v>
      </c>
      <c r="Z28" s="2" t="str">
        <f t="shared" si="4"/>
        <v>OK</v>
      </c>
      <c r="AA28" s="9"/>
      <c r="AB28" s="9"/>
      <c r="AC28" s="2" t="str">
        <f t="shared" si="5"/>
        <v>OK</v>
      </c>
      <c r="AD28" s="9"/>
      <c r="AE28" s="2" t="str">
        <f t="shared" si="6"/>
        <v>OK</v>
      </c>
    </row>
    <row r="29" spans="1:32" ht="24.6" customHeight="1" thickTop="1" thickBot="1" x14ac:dyDescent="0.25">
      <c r="A29" s="39"/>
      <c r="B29" s="38" t="s">
        <v>29</v>
      </c>
      <c r="C29" s="31">
        <v>13</v>
      </c>
      <c r="D29" s="33"/>
      <c r="E29" s="33"/>
      <c r="F29" s="32">
        <f t="shared" si="0"/>
        <v>0</v>
      </c>
      <c r="G29" s="33"/>
      <c r="H29" s="33"/>
      <c r="I29" s="33"/>
      <c r="J29" s="37"/>
      <c r="K29" s="36">
        <f t="shared" si="1"/>
        <v>0</v>
      </c>
      <c r="L29" s="35"/>
      <c r="M29" s="34"/>
      <c r="N29" s="34"/>
      <c r="O29" s="34"/>
      <c r="P29" s="34"/>
      <c r="Q29" s="33"/>
      <c r="R29" s="34"/>
      <c r="S29" s="33"/>
      <c r="T29" s="32">
        <f>S29*1</f>
        <v>0</v>
      </c>
      <c r="U29" s="32">
        <f t="shared" si="7"/>
        <v>0</v>
      </c>
      <c r="V29" s="31">
        <v>13</v>
      </c>
      <c r="W29" s="23"/>
      <c r="X29" s="2" t="str">
        <f t="shared" si="2"/>
        <v>OK</v>
      </c>
      <c r="Y29" s="2" t="str">
        <f t="shared" si="3"/>
        <v>OK</v>
      </c>
      <c r="Z29" s="2" t="str">
        <f t="shared" si="4"/>
        <v>OK</v>
      </c>
      <c r="AA29" s="9"/>
      <c r="AB29" s="9"/>
      <c r="AC29" s="2" t="str">
        <f t="shared" si="5"/>
        <v>OK</v>
      </c>
      <c r="AD29" s="9"/>
      <c r="AE29" s="2" t="str">
        <f t="shared" si="6"/>
        <v>OK</v>
      </c>
    </row>
    <row r="30" spans="1:32" ht="24.6" customHeight="1" thickTop="1" thickBot="1" x14ac:dyDescent="0.25">
      <c r="A30" s="39"/>
      <c r="B30" s="40" t="s">
        <v>28</v>
      </c>
      <c r="C30" s="31">
        <v>14</v>
      </c>
      <c r="D30" s="33"/>
      <c r="E30" s="33"/>
      <c r="F30" s="32">
        <f t="shared" si="0"/>
        <v>0</v>
      </c>
      <c r="G30" s="33"/>
      <c r="H30" s="33"/>
      <c r="I30" s="33"/>
      <c r="J30" s="37"/>
      <c r="K30" s="36">
        <f t="shared" si="1"/>
        <v>0</v>
      </c>
      <c r="L30" s="35"/>
      <c r="M30" s="34"/>
      <c r="N30" s="34"/>
      <c r="O30" s="34"/>
      <c r="P30" s="34"/>
      <c r="Q30" s="33"/>
      <c r="R30" s="34"/>
      <c r="S30" s="33"/>
      <c r="T30" s="32">
        <f>S30*1</f>
        <v>0</v>
      </c>
      <c r="U30" s="32">
        <f t="shared" si="7"/>
        <v>0</v>
      </c>
      <c r="V30" s="31">
        <v>14</v>
      </c>
      <c r="W30" s="23"/>
      <c r="X30" s="2" t="str">
        <f t="shared" si="2"/>
        <v>OK</v>
      </c>
      <c r="Y30" s="2" t="str">
        <f t="shared" si="3"/>
        <v>OK</v>
      </c>
      <c r="Z30" s="2" t="str">
        <f t="shared" si="4"/>
        <v>OK</v>
      </c>
      <c r="AA30" s="9"/>
      <c r="AB30" s="9"/>
      <c r="AC30" s="2" t="str">
        <f t="shared" si="5"/>
        <v>OK</v>
      </c>
      <c r="AD30" s="9"/>
      <c r="AE30" s="2" t="str">
        <f t="shared" si="6"/>
        <v>OK</v>
      </c>
    </row>
    <row r="31" spans="1:32" ht="24.6" customHeight="1" thickTop="1" thickBot="1" x14ac:dyDescent="0.25">
      <c r="A31" s="39"/>
      <c r="B31" s="38" t="s">
        <v>26</v>
      </c>
      <c r="C31" s="31">
        <v>15</v>
      </c>
      <c r="D31" s="33"/>
      <c r="E31" s="33"/>
      <c r="F31" s="32">
        <f t="shared" si="0"/>
        <v>0</v>
      </c>
      <c r="G31" s="33"/>
      <c r="H31" s="33"/>
      <c r="I31" s="33"/>
      <c r="J31" s="37"/>
      <c r="K31" s="36">
        <f t="shared" si="1"/>
        <v>0</v>
      </c>
      <c r="L31" s="35"/>
      <c r="M31" s="34"/>
      <c r="N31" s="34"/>
      <c r="O31" s="34"/>
      <c r="P31" s="34"/>
      <c r="Q31" s="33"/>
      <c r="R31" s="34"/>
      <c r="S31" s="33"/>
      <c r="T31" s="32">
        <f>S31*1</f>
        <v>0</v>
      </c>
      <c r="U31" s="32">
        <f t="shared" si="7"/>
        <v>0</v>
      </c>
      <c r="V31" s="31">
        <v>15</v>
      </c>
      <c r="W31" s="23"/>
      <c r="X31" s="2" t="str">
        <f t="shared" si="2"/>
        <v>OK</v>
      </c>
      <c r="Y31" s="2" t="str">
        <f t="shared" si="3"/>
        <v>OK</v>
      </c>
      <c r="Z31" s="2" t="str">
        <f t="shared" si="4"/>
        <v>OK</v>
      </c>
      <c r="AA31" s="9"/>
      <c r="AB31" s="9"/>
      <c r="AC31" s="2" t="str">
        <f t="shared" si="5"/>
        <v>OK</v>
      </c>
      <c r="AD31" s="9"/>
      <c r="AE31" s="2" t="str">
        <f t="shared" si="6"/>
        <v>OK</v>
      </c>
    </row>
    <row r="32" spans="1:32" ht="24.6" customHeight="1" thickTop="1" thickBot="1" x14ac:dyDescent="0.25">
      <c r="A32" s="39"/>
      <c r="B32" s="38" t="s">
        <v>27</v>
      </c>
      <c r="C32" s="31">
        <v>16</v>
      </c>
      <c r="D32" s="33"/>
      <c r="E32" s="33"/>
      <c r="F32" s="32">
        <f t="shared" si="0"/>
        <v>0</v>
      </c>
      <c r="G32" s="33"/>
      <c r="H32" s="33"/>
      <c r="I32" s="33"/>
      <c r="J32" s="37"/>
      <c r="K32" s="36">
        <f t="shared" si="1"/>
        <v>0</v>
      </c>
      <c r="L32" s="35"/>
      <c r="M32" s="34"/>
      <c r="N32" s="34"/>
      <c r="O32" s="34"/>
      <c r="P32" s="34"/>
      <c r="Q32" s="33"/>
      <c r="R32" s="34"/>
      <c r="S32" s="33"/>
      <c r="T32" s="32">
        <f>S32*1.5</f>
        <v>0</v>
      </c>
      <c r="U32" s="32">
        <f t="shared" si="7"/>
        <v>0</v>
      </c>
      <c r="V32" s="31">
        <v>16</v>
      </c>
      <c r="W32" s="23"/>
      <c r="X32" s="2" t="str">
        <f t="shared" si="2"/>
        <v>OK</v>
      </c>
      <c r="Y32" s="2" t="str">
        <f t="shared" si="3"/>
        <v>OK</v>
      </c>
      <c r="Z32" s="2" t="str">
        <f t="shared" si="4"/>
        <v>OK</v>
      </c>
      <c r="AA32" s="9"/>
      <c r="AB32" s="9"/>
      <c r="AC32" s="2" t="str">
        <f t="shared" si="5"/>
        <v>OK</v>
      </c>
      <c r="AD32" s="9"/>
      <c r="AE32" s="2" t="str">
        <f t="shared" si="6"/>
        <v>OK</v>
      </c>
    </row>
    <row r="33" spans="1:32" ht="24.6" customHeight="1" thickTop="1" thickBot="1" x14ac:dyDescent="0.25">
      <c r="A33" s="39"/>
      <c r="B33" s="38" t="s">
        <v>26</v>
      </c>
      <c r="C33" s="31">
        <v>17</v>
      </c>
      <c r="D33" s="33"/>
      <c r="E33" s="33"/>
      <c r="F33" s="32">
        <f t="shared" si="0"/>
        <v>0</v>
      </c>
      <c r="G33" s="33"/>
      <c r="H33" s="33"/>
      <c r="I33" s="33"/>
      <c r="J33" s="37"/>
      <c r="K33" s="36">
        <f t="shared" si="1"/>
        <v>0</v>
      </c>
      <c r="L33" s="35"/>
      <c r="M33" s="34"/>
      <c r="N33" s="34"/>
      <c r="O33" s="34"/>
      <c r="P33" s="34"/>
      <c r="Q33" s="33"/>
      <c r="R33" s="34"/>
      <c r="S33" s="33"/>
      <c r="T33" s="32">
        <f>S33*1.5</f>
        <v>0</v>
      </c>
      <c r="U33" s="32">
        <f t="shared" si="7"/>
        <v>0</v>
      </c>
      <c r="V33" s="31">
        <v>17</v>
      </c>
      <c r="W33" s="23"/>
      <c r="X33" s="2" t="str">
        <f t="shared" si="2"/>
        <v>OK</v>
      </c>
      <c r="Y33" s="2" t="str">
        <f t="shared" si="3"/>
        <v>OK</v>
      </c>
      <c r="Z33" s="2" t="str">
        <f t="shared" si="4"/>
        <v>OK</v>
      </c>
      <c r="AA33" s="9"/>
      <c r="AB33" s="9"/>
      <c r="AC33" s="2" t="str">
        <f t="shared" si="5"/>
        <v>OK</v>
      </c>
      <c r="AD33" s="9"/>
      <c r="AE33" s="2" t="str">
        <f t="shared" si="6"/>
        <v>OK</v>
      </c>
    </row>
    <row r="34" spans="1:32" ht="25.35" customHeight="1" thickTop="1" thickBot="1" x14ac:dyDescent="0.25">
      <c r="A34" s="39"/>
      <c r="B34" s="38">
        <v>3.5</v>
      </c>
      <c r="C34" s="31">
        <v>18</v>
      </c>
      <c r="D34" s="33"/>
      <c r="E34" s="33"/>
      <c r="F34" s="32">
        <f t="shared" si="0"/>
        <v>0</v>
      </c>
      <c r="G34" s="33"/>
      <c r="H34" s="33"/>
      <c r="I34" s="33"/>
      <c r="J34" s="37"/>
      <c r="K34" s="36">
        <f t="shared" si="1"/>
        <v>0</v>
      </c>
      <c r="L34" s="35"/>
      <c r="M34" s="34"/>
      <c r="N34" s="34"/>
      <c r="O34" s="34"/>
      <c r="P34" s="34"/>
      <c r="Q34" s="33"/>
      <c r="R34" s="34"/>
      <c r="S34" s="33"/>
      <c r="T34" s="32">
        <f>S34*3.5</f>
        <v>0</v>
      </c>
      <c r="U34" s="32">
        <f t="shared" si="7"/>
        <v>0</v>
      </c>
      <c r="V34" s="31">
        <v>18</v>
      </c>
      <c r="W34" s="23"/>
      <c r="X34" s="2" t="str">
        <f t="shared" si="2"/>
        <v>OK</v>
      </c>
      <c r="Y34" s="2" t="str">
        <f t="shared" si="3"/>
        <v>OK</v>
      </c>
      <c r="Z34" s="2" t="str">
        <f t="shared" si="4"/>
        <v>OK</v>
      </c>
      <c r="AA34" s="9"/>
      <c r="AB34" s="9"/>
      <c r="AC34" s="2" t="str">
        <f t="shared" si="5"/>
        <v>OK</v>
      </c>
      <c r="AD34" s="9"/>
      <c r="AE34" s="2" t="str">
        <f t="shared" si="6"/>
        <v>OK</v>
      </c>
    </row>
    <row r="35" spans="1:32" ht="7.5" customHeight="1" thickTop="1" x14ac:dyDescent="0.2">
      <c r="A35" s="30"/>
      <c r="B35" s="29"/>
      <c r="C35" s="12"/>
      <c r="D35" s="28"/>
      <c r="E35" s="28"/>
      <c r="F35" s="28"/>
      <c r="G35" s="28"/>
      <c r="H35" s="28"/>
      <c r="I35" s="28"/>
      <c r="J35" s="28"/>
      <c r="K35" s="28"/>
      <c r="L35" s="28"/>
      <c r="M35" s="28"/>
      <c r="N35" s="28"/>
      <c r="O35" s="28"/>
      <c r="P35" s="28"/>
      <c r="Q35" s="28"/>
      <c r="R35" s="28"/>
      <c r="S35" s="28"/>
      <c r="T35" s="28"/>
      <c r="U35" s="28"/>
      <c r="V35" s="12"/>
      <c r="W35" s="24"/>
      <c r="X35" s="24"/>
      <c r="Y35" s="27"/>
      <c r="Z35" s="27"/>
      <c r="AA35" s="9"/>
      <c r="AB35" s="9"/>
      <c r="AC35" s="9"/>
      <c r="AD35" s="9"/>
      <c r="AE35" s="9"/>
      <c r="AF35" s="9"/>
    </row>
    <row r="36" spans="1:32" ht="18.75" customHeight="1" x14ac:dyDescent="0.2">
      <c r="A36"/>
      <c r="B36" s="26" t="str">
        <f>"Version: "&amp;D43</f>
        <v>Version: 2.01.E0</v>
      </c>
      <c r="C36"/>
      <c r="D36"/>
      <c r="E36"/>
      <c r="F36"/>
      <c r="G36"/>
      <c r="H36"/>
      <c r="I36"/>
      <c r="J36"/>
      <c r="K36"/>
      <c r="L36"/>
      <c r="M36"/>
      <c r="N36"/>
      <c r="O36"/>
      <c r="P36"/>
      <c r="Q36"/>
      <c r="R36"/>
      <c r="S36"/>
      <c r="T36"/>
      <c r="U36"/>
      <c r="V36" s="25" t="s">
        <v>25</v>
      </c>
      <c r="W36" s="23"/>
      <c r="X36" s="23"/>
      <c r="Y36" s="24"/>
      <c r="Z36" s="24"/>
      <c r="AA36" s="9"/>
      <c r="AB36" s="9"/>
      <c r="AC36" s="9"/>
      <c r="AD36" s="9"/>
      <c r="AE36" s="9"/>
      <c r="AF36" s="9"/>
    </row>
    <row r="37" spans="1:32" ht="18.75" customHeight="1" x14ac:dyDescent="0.2">
      <c r="A37"/>
      <c r="B37"/>
      <c r="C37"/>
      <c r="D37"/>
      <c r="E37"/>
      <c r="F37"/>
      <c r="G37"/>
      <c r="H37"/>
      <c r="I37"/>
      <c r="J37"/>
      <c r="K37"/>
      <c r="L37"/>
      <c r="M37"/>
      <c r="N37"/>
      <c r="O37"/>
      <c r="P37"/>
      <c r="Q37"/>
      <c r="R37"/>
      <c r="S37"/>
      <c r="T37"/>
      <c r="U37"/>
      <c r="V37" s="9"/>
      <c r="W37" s="23"/>
      <c r="X37" s="23"/>
      <c r="Y37" s="23"/>
      <c r="Z37" s="23"/>
    </row>
    <row r="38" spans="1:32" ht="18.75" customHeight="1" x14ac:dyDescent="0.2">
      <c r="Q38" s="22"/>
      <c r="S38" s="22"/>
      <c r="V38" s="9"/>
    </row>
    <row r="39" spans="1:32" ht="18.75" customHeight="1" x14ac:dyDescent="0.2">
      <c r="Q39" s="22"/>
      <c r="S39" s="22"/>
    </row>
    <row r="40" spans="1:32" ht="18.75" customHeight="1" x14ac:dyDescent="0.2">
      <c r="B40" s="21"/>
      <c r="C40" s="20" t="s">
        <v>24</v>
      </c>
      <c r="D40" s="19" t="str">
        <f>U2</f>
        <v>XXXXXX</v>
      </c>
    </row>
    <row r="41" spans="1:32" ht="18.75" customHeight="1" x14ac:dyDescent="0.2">
      <c r="B41" s="15"/>
      <c r="D41" s="14" t="str">
        <f>U1</f>
        <v>P_CRSABIS_02</v>
      </c>
    </row>
    <row r="42" spans="1:32" ht="18.75" customHeight="1" x14ac:dyDescent="0.2">
      <c r="B42" s="15"/>
      <c r="D42" s="18" t="str">
        <f>U3</f>
        <v>DD.MM.YYYY</v>
      </c>
    </row>
    <row r="43" spans="1:32" ht="18.75" customHeight="1" x14ac:dyDescent="0.2">
      <c r="B43" s="17"/>
      <c r="D43" s="16" t="s">
        <v>23</v>
      </c>
    </row>
    <row r="44" spans="1:32" ht="18.75" customHeight="1" x14ac:dyDescent="0.2">
      <c r="B44" s="15"/>
      <c r="D44" s="14" t="str">
        <f>D13</f>
        <v>col. 01</v>
      </c>
    </row>
    <row r="45" spans="1:32" ht="18.75" customHeight="1" x14ac:dyDescent="0.2">
      <c r="B45" s="13"/>
      <c r="C45" s="12"/>
      <c r="D45" s="11">
        <f>COUNTIF(D49:U54,"ERROR")+COUNTIF(X14:AE35,"ERROR")</f>
        <v>0</v>
      </c>
    </row>
    <row r="46" spans="1:32" ht="20.85" customHeight="1" x14ac:dyDescent="0.2">
      <c r="B46" s="9"/>
      <c r="C46" s="8"/>
      <c r="D46" s="10"/>
    </row>
    <row r="47" spans="1:32" x14ac:dyDescent="0.2">
      <c r="B47" s="9"/>
      <c r="C47" s="8"/>
      <c r="D47" s="7"/>
    </row>
    <row r="48" spans="1:32" x14ac:dyDescent="0.2">
      <c r="D48" s="6" t="s">
        <v>22</v>
      </c>
      <c r="E48" s="6" t="s">
        <v>21</v>
      </c>
      <c r="F48" s="6" t="s">
        <v>20</v>
      </c>
      <c r="G48" s="6" t="s">
        <v>19</v>
      </c>
      <c r="H48" s="6" t="s">
        <v>18</v>
      </c>
      <c r="I48" s="6" t="s">
        <v>17</v>
      </c>
      <c r="J48" s="6" t="s">
        <v>16</v>
      </c>
      <c r="K48" s="6" t="s">
        <v>15</v>
      </c>
      <c r="L48" s="6" t="s">
        <v>14</v>
      </c>
      <c r="M48" s="6" t="s">
        <v>13</v>
      </c>
      <c r="N48" s="6" t="s">
        <v>12</v>
      </c>
      <c r="O48" s="6" t="s">
        <v>11</v>
      </c>
      <c r="P48" s="6" t="s">
        <v>10</v>
      </c>
      <c r="Q48" s="6" t="s">
        <v>9</v>
      </c>
      <c r="R48" s="6" t="s">
        <v>8</v>
      </c>
      <c r="S48" s="6" t="s">
        <v>7</v>
      </c>
      <c r="T48" s="6" t="s">
        <v>6</v>
      </c>
      <c r="U48" s="6" t="s">
        <v>5</v>
      </c>
      <c r="V48"/>
      <c r="W48"/>
    </row>
    <row r="49" spans="2:23" x14ac:dyDescent="0.2">
      <c r="B49" s="4" t="s">
        <v>4</v>
      </c>
      <c r="C49" s="5"/>
      <c r="D49" s="2" t="str">
        <f>IF(ROUND(D17+D16,0)=ROUND(D14,0),"OK","ERROR")</f>
        <v>OK</v>
      </c>
      <c r="E49" s="2" t="str">
        <f>IF(ROUND(E17+E16,0)=ROUND(E14,0),"OK","ERROR")</f>
        <v>OK</v>
      </c>
      <c r="F49" s="2" t="str">
        <f>IF(ROUND(F17+F16,0)=ROUND(F14,0),"OK","ERROR")</f>
        <v>OK</v>
      </c>
      <c r="G49" s="2" t="str">
        <f>IF(ROUND(G17,0)=ROUND(G14,0),"OK","ERROR")</f>
        <v>OK</v>
      </c>
      <c r="H49" s="2" t="str">
        <f>IF(ROUND(H17,0)=ROUND(H14,0),"OK","ERROR")</f>
        <v>OK</v>
      </c>
      <c r="I49" s="2" t="str">
        <f>IF(ROUND(I17,0)=ROUND(I14,0),"OK","ERROR")</f>
        <v>OK</v>
      </c>
      <c r="J49" s="2" t="str">
        <f>IF(ROUND(J17,0)=ROUND(J14,0),"OK","ERROR")</f>
        <v>OK</v>
      </c>
      <c r="K49" s="2" t="str">
        <f>IF(AND(ROUND(K16+K17,0)=ROUND(K14,0),ROUND(K14,0)=ROUND(K19+K20+K21+K23+K24+K26+K28+K32+K34,0)),"OK","ERROR")</f>
        <v>OK</v>
      </c>
      <c r="L49"/>
      <c r="M49"/>
      <c r="N49"/>
      <c r="O49"/>
      <c r="P49"/>
      <c r="Q49" s="2" t="str">
        <f>IF(AND(ROUND(Q17+Q16,0)=ROUND(Q14,0),ROUND(K14+O14+P14,0)=ROUND(Q14,0)),"OK","ERROR")</f>
        <v>OK</v>
      </c>
      <c r="R49"/>
      <c r="S49" s="2" t="str">
        <f>IF(AND(ROUND(S17+S16,0)=ROUND(S14,0),ROUND(Q14+R14,0)=ROUND(S14,0)),"OK","ERROR")</f>
        <v>OK</v>
      </c>
      <c r="T49" s="2" t="str">
        <f>IF(ROUND(T17+T16,0)=ROUND(T14,0),"OK","ERROR")</f>
        <v>OK</v>
      </c>
      <c r="U49" s="2" t="str">
        <f>IF(ROUND(U17+U16,0)=ROUND(U14,0),"OK","ERROR")</f>
        <v>OK</v>
      </c>
      <c r="V49"/>
      <c r="W49"/>
    </row>
    <row r="50" spans="2:23" x14ac:dyDescent="0.2">
      <c r="B50" s="4" t="s">
        <v>3</v>
      </c>
      <c r="C50" s="3"/>
      <c r="D50" s="2" t="str">
        <f>IF(ROUND(D22,0)&lt;=ROUND(D21,0),"OK","ERROR")</f>
        <v>OK</v>
      </c>
      <c r="E50" s="2" t="str">
        <f>IF(ROUND(E22,0)&gt;=ROUND(E21,0),"OK","ERROR")</f>
        <v>OK</v>
      </c>
      <c r="F50" s="2" t="str">
        <f t="shared" ref="F50:K50" si="8">IF(ROUND(F22,0)&lt;=ROUND(F21,0),"OK","ERROR")</f>
        <v>OK</v>
      </c>
      <c r="G50" s="2" t="str">
        <f t="shared" si="8"/>
        <v>OK</v>
      </c>
      <c r="H50" s="2" t="str">
        <f t="shared" si="8"/>
        <v>OK</v>
      </c>
      <c r="I50" s="2" t="str">
        <f t="shared" si="8"/>
        <v>OK</v>
      </c>
      <c r="J50" s="2" t="str">
        <f t="shared" si="8"/>
        <v>OK</v>
      </c>
      <c r="K50" s="2" t="str">
        <f t="shared" si="8"/>
        <v>OK</v>
      </c>
      <c r="L50"/>
      <c r="M50"/>
      <c r="N50"/>
      <c r="O50"/>
      <c r="P50"/>
      <c r="Q50" s="2" t="str">
        <f>IF(ROUND(Q22,0)&lt;=ROUND(Q21,0),"OK","ERROR")</f>
        <v>OK</v>
      </c>
      <c r="R50"/>
      <c r="S50" s="2" t="str">
        <f>IF(ROUND(S22,0)&lt;=ROUND(S21,0),"OK","ERROR")</f>
        <v>OK</v>
      </c>
      <c r="T50" s="2" t="str">
        <f>IF(ROUND(T22,0)&lt;=ROUND(T21,0),"OK","ERROR")</f>
        <v>OK</v>
      </c>
      <c r="U50" s="2" t="str">
        <f>IF(ROUND(U22,0)&lt;=ROUND(U21,0),"OK","ERROR")</f>
        <v>OK</v>
      </c>
      <c r="V50"/>
      <c r="W50"/>
    </row>
    <row r="51" spans="2:23" x14ac:dyDescent="0.2">
      <c r="B51" s="4" t="s">
        <v>2</v>
      </c>
      <c r="C51" s="3"/>
      <c r="D51" s="2" t="str">
        <f>IF(ROUND(D25,0)&lt;=ROUND(D24,0),"OK","ERROR")</f>
        <v>OK</v>
      </c>
      <c r="E51" s="2" t="str">
        <f>IF(ROUND(E25,0)&gt;=ROUND(E24,0),"OK","ERROR")</f>
        <v>OK</v>
      </c>
      <c r="F51" s="2" t="str">
        <f t="shared" ref="F51:K51" si="9">IF(ROUND(F25,0)&lt;=ROUND(F24,0),"OK","ERROR")</f>
        <v>OK</v>
      </c>
      <c r="G51" s="2" t="str">
        <f t="shared" si="9"/>
        <v>OK</v>
      </c>
      <c r="H51" s="2" t="str">
        <f t="shared" si="9"/>
        <v>OK</v>
      </c>
      <c r="I51" s="2" t="str">
        <f t="shared" si="9"/>
        <v>OK</v>
      </c>
      <c r="J51" s="2" t="str">
        <f t="shared" si="9"/>
        <v>OK</v>
      </c>
      <c r="K51" s="2" t="str">
        <f t="shared" si="9"/>
        <v>OK</v>
      </c>
      <c r="L51"/>
      <c r="M51"/>
      <c r="N51"/>
      <c r="O51"/>
      <c r="P51"/>
      <c r="Q51" s="2" t="str">
        <f>IF(ROUND(Q25,0)&lt;=ROUND(Q24,0),"OK","ERROR")</f>
        <v>OK</v>
      </c>
      <c r="R51"/>
      <c r="S51" s="2" t="str">
        <f>IF(ROUND(S25,0)&lt;=ROUND(S24,0),"OK","ERROR")</f>
        <v>OK</v>
      </c>
      <c r="T51" s="2" t="str">
        <f>IF(ROUND(T25,0)&lt;=ROUND(T24,0),"OK","ERROR")</f>
        <v>OK</v>
      </c>
      <c r="U51" s="2" t="str">
        <f>IF(ROUND(U25,0)&lt;=ROUND(U24,0),"OK","ERROR")</f>
        <v>OK</v>
      </c>
      <c r="V51"/>
      <c r="W51"/>
    </row>
    <row r="52" spans="2:23" x14ac:dyDescent="0.2">
      <c r="B52" s="4" t="s">
        <v>1</v>
      </c>
      <c r="C52" s="3"/>
      <c r="D52" s="2" t="str">
        <f>IF(ROUND(D27,0)&lt;=ROUND(D26,0),"OK","ERROR")</f>
        <v>OK</v>
      </c>
      <c r="E52" s="2" t="str">
        <f>IF(ROUND(E27,0)&gt;=ROUND(E26,0),"OK","ERROR")</f>
        <v>OK</v>
      </c>
      <c r="F52" s="2" t="str">
        <f t="shared" ref="F52:K52" si="10">IF(ROUND(F27,0)&lt;=ROUND(F26,0),"OK","ERROR")</f>
        <v>OK</v>
      </c>
      <c r="G52" s="2" t="str">
        <f t="shared" si="10"/>
        <v>OK</v>
      </c>
      <c r="H52" s="2" t="str">
        <f t="shared" si="10"/>
        <v>OK</v>
      </c>
      <c r="I52" s="2" t="str">
        <f t="shared" si="10"/>
        <v>OK</v>
      </c>
      <c r="J52" s="2" t="str">
        <f t="shared" si="10"/>
        <v>OK</v>
      </c>
      <c r="K52" s="2" t="str">
        <f t="shared" si="10"/>
        <v>OK</v>
      </c>
      <c r="L52"/>
      <c r="M52"/>
      <c r="N52"/>
      <c r="O52"/>
      <c r="P52"/>
      <c r="Q52" s="2" t="str">
        <f>IF(ROUND(Q27,0)&lt;=ROUND(Q26,0),"OK","ERROR")</f>
        <v>OK</v>
      </c>
      <c r="R52"/>
      <c r="S52" s="2" t="str">
        <f>IF(ROUND(S27,0)&lt;=ROUND(S26,0),"OK","ERROR")</f>
        <v>OK</v>
      </c>
      <c r="T52" s="2" t="str">
        <f>IF(ROUND(T27,0)&lt;=ROUND(T26,0),"OK","ERROR")</f>
        <v>OK</v>
      </c>
      <c r="U52" s="2" t="str">
        <f>IF(ROUND(U27,0)&lt;=ROUND(U26,0),"OK","ERROR")</f>
        <v>OK</v>
      </c>
      <c r="V52"/>
      <c r="W52"/>
    </row>
    <row r="53" spans="2:23" x14ac:dyDescent="0.2">
      <c r="B53"/>
      <c r="C53"/>
      <c r="D53"/>
      <c r="E53"/>
      <c r="F53"/>
      <c r="G53"/>
      <c r="H53"/>
      <c r="I53"/>
      <c r="J53"/>
      <c r="K53"/>
      <c r="L53"/>
      <c r="M53"/>
      <c r="N53"/>
      <c r="O53"/>
      <c r="P53"/>
      <c r="Q53"/>
      <c r="R53"/>
      <c r="S53"/>
      <c r="T53"/>
      <c r="U53"/>
      <c r="V53"/>
      <c r="W53"/>
    </row>
    <row r="54" spans="2:23" x14ac:dyDescent="0.2">
      <c r="B54" s="4" t="s">
        <v>0</v>
      </c>
      <c r="C54" s="3"/>
      <c r="D54" s="2" t="str">
        <f>IF(ROUND(D33,0)&lt;=ROUND(D32,0),"OK","ERROR")</f>
        <v>OK</v>
      </c>
      <c r="E54" s="2" t="str">
        <f>IF(ROUND(E33,0)&gt;=ROUND(E32,0),"OK","ERROR")</f>
        <v>OK</v>
      </c>
      <c r="F54" s="2" t="str">
        <f t="shared" ref="F54:K54" si="11">IF(ROUND(F33,0)&lt;=ROUND(F32,0),"OK","ERROR")</f>
        <v>OK</v>
      </c>
      <c r="G54" s="2" t="str">
        <f t="shared" si="11"/>
        <v>OK</v>
      </c>
      <c r="H54" s="2" t="str">
        <f t="shared" si="11"/>
        <v>OK</v>
      </c>
      <c r="I54" s="2" t="str">
        <f t="shared" si="11"/>
        <v>OK</v>
      </c>
      <c r="J54" s="2" t="str">
        <f t="shared" si="11"/>
        <v>OK</v>
      </c>
      <c r="K54" s="2" t="str">
        <f t="shared" si="11"/>
        <v>OK</v>
      </c>
      <c r="L54"/>
      <c r="M54"/>
      <c r="N54"/>
      <c r="O54"/>
      <c r="P54"/>
      <c r="Q54" s="2" t="str">
        <f>IF(ROUND(Q33,0)&lt;=ROUND(Q32,0),"OK","ERROR")</f>
        <v>OK</v>
      </c>
      <c r="R54"/>
      <c r="S54" s="2" t="str">
        <f>IF(ROUND(S33,0)&lt;=ROUND(S32,0),"OK","ERROR")</f>
        <v>OK</v>
      </c>
      <c r="T54" s="2" t="str">
        <f>IF(ROUND(T33,0)&lt;=ROUND(T32,0),"OK","ERROR")</f>
        <v>OK</v>
      </c>
      <c r="U54" s="2" t="str">
        <f>IF(ROUND(U33,0)&lt;=ROUND(U32,0),"OK","ERROR")</f>
        <v>OK</v>
      </c>
      <c r="V54"/>
      <c r="W54"/>
    </row>
    <row r="55" spans="2:23" x14ac:dyDescent="0.2">
      <c r="V55"/>
      <c r="W55"/>
    </row>
  </sheetData>
  <mergeCells count="1">
    <mergeCell ref="U8:U12"/>
  </mergeCells>
  <conditionalFormatting sqref="D25">
    <cfRule type="cellIs" dxfId="10" priority="1" stopIfTrue="1" operator="equal">
      <formula>$D$49="ERROR"</formula>
    </cfRule>
  </conditionalFormatting>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colBreaks count="1" manualBreakCount="1">
    <brk id="11" max="34"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FF0000"/>
  </sheetPr>
  <dimension ref="A1:AF55"/>
  <sheetViews>
    <sheetView workbookViewId="0"/>
  </sheetViews>
  <sheetFormatPr defaultColWidth="11.42578125" defaultRowHeight="12.75" x14ac:dyDescent="0.2"/>
  <cols>
    <col min="1" max="1" width="8.42578125" style="1" customWidth="1"/>
    <col min="2" max="2" width="39.42578125" style="1" customWidth="1"/>
    <col min="3" max="3" width="4.5703125" style="1" customWidth="1"/>
    <col min="4" max="6" width="20.42578125" style="1" customWidth="1"/>
    <col min="7" max="7" width="15.5703125" style="1" customWidth="1"/>
    <col min="8" max="8" width="16.42578125" style="1" customWidth="1"/>
    <col min="9" max="9" width="15.5703125" style="1" customWidth="1"/>
    <col min="10" max="10" width="17.5703125" style="1" customWidth="1"/>
    <col min="11" max="11" width="24.5703125" style="1" customWidth="1"/>
    <col min="12" max="16" width="17.5703125" style="1" customWidth="1"/>
    <col min="17" max="20" width="20.42578125" style="1" customWidth="1"/>
    <col min="21" max="21" width="24.5703125" style="1" customWidth="1"/>
    <col min="22" max="22" width="4.5703125" style="1" customWidth="1"/>
    <col min="23" max="25" width="11.42578125" style="1" customWidth="1"/>
    <col min="26" max="26" width="21.5703125" style="1" customWidth="1"/>
    <col min="27" max="30" width="11.42578125" style="1" customWidth="1"/>
    <col min="31" max="31" width="21.5703125" style="1" customWidth="1"/>
    <col min="32" max="16384" width="11.42578125" style="1"/>
  </cols>
  <sheetData>
    <row r="1" spans="1:31" ht="25.35" customHeight="1" x14ac:dyDescent="0.25">
      <c r="A1" s="9"/>
      <c r="B1" s="9"/>
      <c r="C1" s="9"/>
      <c r="E1" s="78" t="s">
        <v>101</v>
      </c>
      <c r="G1" s="41"/>
      <c r="H1" s="41"/>
      <c r="I1" s="41"/>
      <c r="J1" s="101" t="s">
        <v>100</v>
      </c>
      <c r="K1" s="105" t="s">
        <v>106</v>
      </c>
      <c r="L1" s="41"/>
      <c r="M1" s="78" t="s">
        <v>101</v>
      </c>
      <c r="N1" s="41"/>
      <c r="O1" s="41"/>
      <c r="P1" s="41"/>
      <c r="Q1" s="41"/>
      <c r="R1" s="41"/>
      <c r="S1" s="41"/>
      <c r="T1" s="101" t="s">
        <v>100</v>
      </c>
      <c r="U1" s="105" t="str">
        <f>K1</f>
        <v>P_CRSABIS_03</v>
      </c>
      <c r="V1" s="41"/>
    </row>
    <row r="2" spans="1:31" ht="25.35" customHeight="1" x14ac:dyDescent="0.25">
      <c r="A2" s="9"/>
      <c r="B2" s="41"/>
      <c r="C2" s="9"/>
      <c r="E2" s="104" t="s">
        <v>99</v>
      </c>
      <c r="G2" s="41"/>
      <c r="H2" s="41"/>
      <c r="I2"/>
      <c r="J2" s="101" t="s">
        <v>98</v>
      </c>
      <c r="K2" s="103" t="s">
        <v>119</v>
      </c>
      <c r="L2" s="41"/>
      <c r="M2" s="104" t="s">
        <v>99</v>
      </c>
      <c r="N2" s="9"/>
      <c r="O2" s="41"/>
      <c r="P2" s="41"/>
      <c r="Q2" s="41"/>
      <c r="R2" s="41"/>
      <c r="S2" s="41"/>
      <c r="T2" s="101" t="s">
        <v>98</v>
      </c>
      <c r="U2" s="103" t="str">
        <f>K2</f>
        <v>XXXXXX</v>
      </c>
      <c r="V2" s="41"/>
    </row>
    <row r="3" spans="1:31" ht="25.35" customHeight="1" x14ac:dyDescent="0.25">
      <c r="A3" s="9"/>
      <c r="B3" s="41"/>
      <c r="C3" s="9"/>
      <c r="E3" s="102" t="s">
        <v>97</v>
      </c>
      <c r="G3" s="41"/>
      <c r="I3"/>
      <c r="J3" s="101" t="s">
        <v>96</v>
      </c>
      <c r="K3" s="100" t="s">
        <v>121</v>
      </c>
      <c r="L3" s="41"/>
      <c r="M3" s="102" t="s">
        <v>97</v>
      </c>
      <c r="N3" s="9"/>
      <c r="O3" s="41"/>
      <c r="P3" s="41"/>
      <c r="Q3" s="41"/>
      <c r="R3" s="41"/>
      <c r="S3" s="41"/>
      <c r="T3" s="101" t="s">
        <v>96</v>
      </c>
      <c r="U3" s="100" t="str">
        <f>K3</f>
        <v>DD.MM.YYYY</v>
      </c>
      <c r="V3" s="41"/>
    </row>
    <row r="4" spans="1:31" ht="25.35" customHeight="1" x14ac:dyDescent="0.25">
      <c r="A4" s="9"/>
      <c r="B4" s="41"/>
      <c r="C4" s="9"/>
      <c r="E4" s="97" t="s">
        <v>105</v>
      </c>
      <c r="H4" s="41"/>
      <c r="I4"/>
      <c r="J4" s="99"/>
      <c r="K4" s="98"/>
      <c r="L4" s="41"/>
      <c r="M4" s="97" t="s">
        <v>105</v>
      </c>
      <c r="N4" s="41"/>
      <c r="O4" s="41"/>
      <c r="P4" s="41"/>
      <c r="Q4" s="41"/>
      <c r="R4" s="41"/>
      <c r="S4" s="41"/>
      <c r="T4" s="41"/>
      <c r="U4" s="41"/>
      <c r="V4" s="41"/>
    </row>
    <row r="5" spans="1:31" ht="25.35" customHeight="1" x14ac:dyDescent="0.2">
      <c r="A5" s="9"/>
      <c r="B5" s="41"/>
      <c r="C5" s="9"/>
      <c r="E5" s="1" t="s">
        <v>94</v>
      </c>
      <c r="F5" s="41"/>
      <c r="G5" s="41"/>
      <c r="H5" s="41"/>
      <c r="I5" s="41"/>
      <c r="J5" s="41"/>
      <c r="K5" s="41"/>
      <c r="L5" s="41"/>
      <c r="M5" s="1" t="s">
        <v>94</v>
      </c>
      <c r="N5" s="41"/>
      <c r="O5" s="41"/>
      <c r="P5" s="41"/>
      <c r="Q5" s="41"/>
      <c r="R5" s="41"/>
      <c r="S5" s="41"/>
      <c r="T5" s="41"/>
      <c r="U5" s="41"/>
      <c r="V5" s="41"/>
    </row>
    <row r="6" spans="1:31" ht="25.35" customHeight="1" x14ac:dyDescent="0.2">
      <c r="A6" s="9"/>
      <c r="B6" s="41"/>
      <c r="C6" s="9"/>
      <c r="D6" s="9"/>
    </row>
    <row r="7" spans="1:31" ht="25.35" customHeight="1" x14ac:dyDescent="0.2">
      <c r="A7" s="12"/>
      <c r="B7" s="41"/>
      <c r="C7" s="12"/>
      <c r="D7" s="12"/>
      <c r="F7" s="41"/>
      <c r="G7" s="41"/>
      <c r="H7" s="41"/>
      <c r="I7" s="41"/>
      <c r="J7" s="60"/>
      <c r="K7" s="60"/>
      <c r="L7" s="41"/>
      <c r="N7" s="60"/>
      <c r="O7" s="41"/>
      <c r="P7" s="41"/>
      <c r="Q7" s="41"/>
      <c r="R7" s="41"/>
      <c r="S7" s="41"/>
      <c r="T7" s="41"/>
      <c r="U7" s="41"/>
      <c r="V7" s="60"/>
    </row>
    <row r="8" spans="1:31" ht="17.850000000000001" customHeight="1" x14ac:dyDescent="0.25">
      <c r="A8" s="96"/>
      <c r="B8" s="95"/>
      <c r="C8" s="88"/>
      <c r="D8" s="94" t="s">
        <v>93</v>
      </c>
      <c r="E8" s="94" t="s">
        <v>92</v>
      </c>
      <c r="F8" s="93" t="s">
        <v>90</v>
      </c>
      <c r="G8" s="81" t="s">
        <v>91</v>
      </c>
      <c r="H8" s="82"/>
      <c r="I8" s="82"/>
      <c r="J8" s="92"/>
      <c r="K8" s="80" t="s">
        <v>90</v>
      </c>
      <c r="L8" s="82" t="s">
        <v>89</v>
      </c>
      <c r="M8" s="91"/>
      <c r="N8" s="91"/>
      <c r="O8" s="91"/>
      <c r="P8" s="80"/>
      <c r="Q8" s="90" t="s">
        <v>88</v>
      </c>
      <c r="R8" s="90" t="s">
        <v>87</v>
      </c>
      <c r="S8" s="90" t="s">
        <v>86</v>
      </c>
      <c r="T8" s="89" t="s">
        <v>85</v>
      </c>
      <c r="U8" s="1676" t="s">
        <v>84</v>
      </c>
      <c r="V8" s="88"/>
      <c r="W8" s="71"/>
      <c r="X8" s="71"/>
      <c r="Y8" s="9"/>
      <c r="Z8" s="9"/>
    </row>
    <row r="9" spans="1:31" ht="17.850000000000001" customHeight="1" x14ac:dyDescent="0.25">
      <c r="A9" s="79"/>
      <c r="B9" s="78"/>
      <c r="C9" s="62"/>
      <c r="D9" s="77" t="s">
        <v>83</v>
      </c>
      <c r="E9" s="77" t="s">
        <v>82</v>
      </c>
      <c r="F9" s="70" t="s">
        <v>80</v>
      </c>
      <c r="G9" s="85" t="s">
        <v>81</v>
      </c>
      <c r="H9" s="87"/>
      <c r="I9" s="87"/>
      <c r="J9" s="66"/>
      <c r="K9" s="66" t="s">
        <v>80</v>
      </c>
      <c r="L9" s="86"/>
      <c r="M9" s="86"/>
      <c r="N9" s="86"/>
      <c r="O9" s="75"/>
      <c r="P9" s="72"/>
      <c r="Q9" s="63" t="s">
        <v>79</v>
      </c>
      <c r="R9" s="63" t="s">
        <v>78</v>
      </c>
      <c r="S9" s="63" t="s">
        <v>77</v>
      </c>
      <c r="T9" s="77" t="s">
        <v>76</v>
      </c>
      <c r="U9" s="1677"/>
      <c r="V9" s="62"/>
      <c r="W9" s="71"/>
      <c r="X9" s="71"/>
      <c r="Y9" s="9"/>
      <c r="Z9" s="9"/>
    </row>
    <row r="10" spans="1:31" ht="17.850000000000001" customHeight="1" x14ac:dyDescent="0.25">
      <c r="A10" s="79"/>
      <c r="B10" s="78"/>
      <c r="C10" s="62"/>
      <c r="D10" s="77" t="s">
        <v>75</v>
      </c>
      <c r="E10" s="77" t="s">
        <v>74</v>
      </c>
      <c r="F10" s="70" t="s">
        <v>73</v>
      </c>
      <c r="G10" s="85"/>
      <c r="H10" s="84"/>
      <c r="I10" s="84"/>
      <c r="J10" s="83"/>
      <c r="K10" s="66" t="s">
        <v>72</v>
      </c>
      <c r="L10" s="82" t="s">
        <v>71</v>
      </c>
      <c r="M10" s="80"/>
      <c r="N10" s="66" t="s">
        <v>70</v>
      </c>
      <c r="O10" s="81" t="s">
        <v>69</v>
      </c>
      <c r="P10" s="80"/>
      <c r="Q10" s="63" t="s">
        <v>68</v>
      </c>
      <c r="R10" s="63" t="s">
        <v>67</v>
      </c>
      <c r="S10" s="63" t="s">
        <v>66</v>
      </c>
      <c r="T10" s="63"/>
      <c r="U10" s="1677"/>
      <c r="V10" s="62"/>
      <c r="W10" s="71"/>
      <c r="X10" s="71"/>
      <c r="Y10" s="9"/>
      <c r="Z10" s="9"/>
    </row>
    <row r="11" spans="1:31" ht="17.850000000000001" customHeight="1" x14ac:dyDescent="0.25">
      <c r="A11" s="79"/>
      <c r="B11" s="78"/>
      <c r="C11" s="62"/>
      <c r="D11" s="77"/>
      <c r="E11" s="77" t="s">
        <v>65</v>
      </c>
      <c r="F11" s="70" t="s">
        <v>64</v>
      </c>
      <c r="G11" s="76"/>
      <c r="H11" s="75"/>
      <c r="I11" s="74"/>
      <c r="J11" s="72"/>
      <c r="K11" s="66" t="s">
        <v>63</v>
      </c>
      <c r="L11" s="74" t="s">
        <v>62</v>
      </c>
      <c r="M11" s="72"/>
      <c r="N11" s="72" t="s">
        <v>61</v>
      </c>
      <c r="O11" s="73" t="s">
        <v>60</v>
      </c>
      <c r="P11" s="72"/>
      <c r="Q11" s="63" t="s">
        <v>59</v>
      </c>
      <c r="R11" s="63" t="s">
        <v>58</v>
      </c>
      <c r="T11" s="63"/>
      <c r="U11" s="1677"/>
      <c r="V11" s="62"/>
      <c r="W11" s="71"/>
      <c r="X11" s="71"/>
      <c r="Y11" s="9"/>
      <c r="Z11" s="9"/>
    </row>
    <row r="12" spans="1:31" ht="85.35" customHeight="1" x14ac:dyDescent="0.2">
      <c r="A12" s="9"/>
      <c r="B12" s="9"/>
      <c r="C12" s="62"/>
      <c r="D12" s="63"/>
      <c r="E12" s="63" t="s">
        <v>57</v>
      </c>
      <c r="F12" s="70" t="s">
        <v>56</v>
      </c>
      <c r="G12" s="69" t="s">
        <v>34</v>
      </c>
      <c r="H12" s="67">
        <v>0.2</v>
      </c>
      <c r="I12" s="68">
        <v>0.5</v>
      </c>
      <c r="J12" s="67">
        <v>1</v>
      </c>
      <c r="K12" s="66" t="s">
        <v>55</v>
      </c>
      <c r="L12" s="65" t="s">
        <v>54</v>
      </c>
      <c r="M12" s="64" t="s">
        <v>53</v>
      </c>
      <c r="N12" s="64" t="s">
        <v>52</v>
      </c>
      <c r="O12" s="63" t="s">
        <v>51</v>
      </c>
      <c r="P12" s="63" t="s">
        <v>50</v>
      </c>
      <c r="Q12" s="63" t="s">
        <v>49</v>
      </c>
      <c r="R12" s="63" t="s">
        <v>48</v>
      </c>
      <c r="S12" s="63"/>
      <c r="T12" s="63"/>
      <c r="U12" s="1677"/>
      <c r="V12" s="62"/>
      <c r="W12" s="61"/>
      <c r="X12" s="61"/>
      <c r="Y12" s="61"/>
      <c r="Z12" s="61"/>
    </row>
    <row r="13" spans="1:31" ht="25.35" customHeight="1" x14ac:dyDescent="0.2">
      <c r="A13" s="41"/>
      <c r="B13" s="60"/>
      <c r="C13" s="58"/>
      <c r="D13" s="59" t="s">
        <v>22</v>
      </c>
      <c r="E13" s="59" t="s">
        <v>21</v>
      </c>
      <c r="F13" s="59" t="s">
        <v>20</v>
      </c>
      <c r="G13" s="59" t="s">
        <v>19</v>
      </c>
      <c r="H13" s="59" t="s">
        <v>18</v>
      </c>
      <c r="I13" s="59" t="s">
        <v>17</v>
      </c>
      <c r="J13" s="59" t="s">
        <v>16</v>
      </c>
      <c r="K13" s="59" t="s">
        <v>15</v>
      </c>
      <c r="L13" s="59" t="s">
        <v>14</v>
      </c>
      <c r="M13" s="59" t="s">
        <v>13</v>
      </c>
      <c r="N13" s="59" t="s">
        <v>12</v>
      </c>
      <c r="O13" s="59" t="s">
        <v>11</v>
      </c>
      <c r="P13" s="59" t="s">
        <v>10</v>
      </c>
      <c r="Q13" s="59" t="s">
        <v>9</v>
      </c>
      <c r="R13" s="59" t="s">
        <v>8</v>
      </c>
      <c r="S13" s="59" t="s">
        <v>7</v>
      </c>
      <c r="T13" s="59" t="s">
        <v>6</v>
      </c>
      <c r="U13" s="59" t="s">
        <v>5</v>
      </c>
      <c r="V13" s="58"/>
      <c r="X13" s="9" t="s">
        <v>47</v>
      </c>
      <c r="Y13" s="9" t="s">
        <v>46</v>
      </c>
      <c r="Z13" s="9" t="s">
        <v>45</v>
      </c>
      <c r="AA13" s="9" t="s">
        <v>44</v>
      </c>
      <c r="AB13" s="9" t="s">
        <v>43</v>
      </c>
      <c r="AC13" s="9" t="s">
        <v>42</v>
      </c>
      <c r="AD13" s="9" t="s">
        <v>41</v>
      </c>
      <c r="AE13" s="9" t="s">
        <v>40</v>
      </c>
    </row>
    <row r="14" spans="1:31" ht="25.35" customHeight="1" thickBot="1" x14ac:dyDescent="0.25">
      <c r="A14" s="57"/>
      <c r="B14" s="56" t="s">
        <v>39</v>
      </c>
      <c r="C14" s="31">
        <v>1</v>
      </c>
      <c r="D14" s="32">
        <f>SUM(D19:D21,D23:D24,D26,D28,D32,D34)</f>
        <v>0</v>
      </c>
      <c r="E14" s="32">
        <f>SUM(E19:E21,E23:E24,E26,E28,E32,E34)</f>
        <v>0</v>
      </c>
      <c r="F14" s="32">
        <f>D14+E14</f>
        <v>0</v>
      </c>
      <c r="G14" s="32">
        <f>SUM(G19:G21,G23:G24,G26,G28,G32,G34)</f>
        <v>0</v>
      </c>
      <c r="H14" s="32">
        <f>SUM(H19:H21,H23:H24,H26,H28,H32,H34)</f>
        <v>0</v>
      </c>
      <c r="I14" s="32">
        <f>SUM(I19:I21,I23:I24,I26,I28,I32,I34)</f>
        <v>0</v>
      </c>
      <c r="J14" s="32">
        <f>SUM(J19:J21,J23:J24,J26,J28,J32,J34)</f>
        <v>0</v>
      </c>
      <c r="K14" s="55">
        <f>F14-G14-0.8*H14-0.5*I14</f>
        <v>0</v>
      </c>
      <c r="L14" s="54"/>
      <c r="M14" s="33"/>
      <c r="N14" s="37"/>
      <c r="O14" s="32">
        <f>(L14+M14+N14)*-1</f>
        <v>0</v>
      </c>
      <c r="P14" s="33"/>
      <c r="Q14" s="32">
        <f>SUM(Q19:Q21,Q23:Q24,Q26,Q28,Q32,Q34)</f>
        <v>0</v>
      </c>
      <c r="R14" s="33"/>
      <c r="S14" s="32">
        <f>SUM(S19:S21,S23:S24,S26,S28,S32,S34)</f>
        <v>0</v>
      </c>
      <c r="T14" s="32">
        <f>SUM(T19:T21,T23:T24,T26,T28,T32,T34)</f>
        <v>0</v>
      </c>
      <c r="U14" s="32">
        <f>T14*0.08</f>
        <v>0</v>
      </c>
      <c r="V14" s="31">
        <v>1</v>
      </c>
      <c r="W14" s="23"/>
      <c r="X14" s="53" t="str">
        <f>IF(D14&gt;=0,"OK","ERROR")</f>
        <v>OK</v>
      </c>
      <c r="Y14" s="53" t="str">
        <f>IF(E14&lt;=0,"OK","ERROR")</f>
        <v>OK</v>
      </c>
      <c r="Z14" s="53" t="str">
        <f>IF(MIN(F14:N14)&gt;=0,"OK","ERROR")</f>
        <v>OK</v>
      </c>
      <c r="AA14" s="53" t="str">
        <f>IF(O14&lt;=0,"OK","ERROR")</f>
        <v>OK</v>
      </c>
      <c r="AB14" s="53" t="str">
        <f>IF(P14&gt;=0,"OK","ERROR")</f>
        <v>OK</v>
      </c>
      <c r="AC14" s="53" t="str">
        <f>IF(Q14&gt;=0,"OK","ERROR")</f>
        <v>OK</v>
      </c>
      <c r="AD14" s="53" t="str">
        <f>IF(R14&lt;=0,"OK","ERROR")</f>
        <v>OK</v>
      </c>
      <c r="AE14" s="53" t="str">
        <f>IF(MIN(S14:U14)&gt;=0,"OK","ERROR")</f>
        <v>OK</v>
      </c>
    </row>
    <row r="15" spans="1:31" ht="37.5" customHeight="1" thickTop="1" x14ac:dyDescent="0.2">
      <c r="A15" s="39"/>
      <c r="B15" s="47" t="s">
        <v>38</v>
      </c>
      <c r="C15" s="31"/>
      <c r="D15" s="46"/>
      <c r="E15" s="46"/>
      <c r="F15" s="46"/>
      <c r="G15" s="46"/>
      <c r="H15" s="46"/>
      <c r="I15" s="46"/>
      <c r="J15" s="46"/>
      <c r="K15" s="46"/>
      <c r="L15" s="46"/>
      <c r="M15" s="46"/>
      <c r="N15" s="46"/>
      <c r="O15" s="46"/>
      <c r="P15" s="46"/>
      <c r="Q15" s="46"/>
      <c r="R15" s="46"/>
      <c r="S15" s="46"/>
      <c r="T15" s="46"/>
      <c r="U15" s="46"/>
      <c r="V15" s="31"/>
      <c r="W15" s="45"/>
      <c r="X15" s="52"/>
      <c r="Y15" s="52"/>
      <c r="Z15" s="52"/>
      <c r="AA15" s="9"/>
      <c r="AB15" s="51"/>
      <c r="AC15" s="9"/>
      <c r="AD15" s="9"/>
      <c r="AE15" s="50"/>
    </row>
    <row r="16" spans="1:31" ht="25.35" customHeight="1" thickBot="1" x14ac:dyDescent="0.25">
      <c r="A16" s="39"/>
      <c r="B16" s="48" t="s">
        <v>37</v>
      </c>
      <c r="C16" s="31">
        <v>2</v>
      </c>
      <c r="D16" s="33"/>
      <c r="E16" s="33"/>
      <c r="F16" s="32">
        <f>D16+E16</f>
        <v>0</v>
      </c>
      <c r="G16" s="34"/>
      <c r="H16" s="34"/>
      <c r="I16" s="34"/>
      <c r="J16" s="49"/>
      <c r="K16" s="36">
        <f>F16</f>
        <v>0</v>
      </c>
      <c r="L16" s="35"/>
      <c r="M16" s="34"/>
      <c r="N16" s="34"/>
      <c r="O16" s="34"/>
      <c r="P16" s="34"/>
      <c r="Q16" s="33"/>
      <c r="R16" s="34"/>
      <c r="S16" s="33"/>
      <c r="T16" s="33"/>
      <c r="U16" s="32">
        <f>T16*0.08</f>
        <v>0</v>
      </c>
      <c r="V16" s="31">
        <v>2</v>
      </c>
      <c r="W16" s="23"/>
      <c r="X16" s="2" t="str">
        <f>IF(D16&gt;=0,"OK","ERROR")</f>
        <v>OK</v>
      </c>
      <c r="Y16" s="2" t="str">
        <f>IF(E16&lt;=0,"OK","ERROR")</f>
        <v>OK</v>
      </c>
      <c r="Z16" s="2" t="str">
        <f>IF(MIN(F16:N16)&gt;=0,"OK","ERROR")</f>
        <v>OK</v>
      </c>
      <c r="AA16" s="9"/>
      <c r="AB16" s="9"/>
      <c r="AC16" s="2" t="str">
        <f>IF(Q16&gt;=0,"OK","ERROR")</f>
        <v>OK</v>
      </c>
      <c r="AD16" s="9"/>
      <c r="AE16" s="2" t="str">
        <f>IF(MIN(S16:U16)&gt;=0,"OK","ERROR")</f>
        <v>OK</v>
      </c>
    </row>
    <row r="17" spans="1:32" ht="25.35" customHeight="1" thickTop="1" thickBot="1" x14ac:dyDescent="0.25">
      <c r="A17" s="39"/>
      <c r="B17" s="48" t="s">
        <v>36</v>
      </c>
      <c r="C17" s="31">
        <v>3</v>
      </c>
      <c r="D17" s="33"/>
      <c r="E17" s="33"/>
      <c r="F17" s="32">
        <f>D17+E17</f>
        <v>0</v>
      </c>
      <c r="G17" s="33"/>
      <c r="H17" s="33"/>
      <c r="I17" s="33"/>
      <c r="J17" s="37"/>
      <c r="K17" s="36">
        <f>F17-G17-0.8*H17-0.5*I17</f>
        <v>0</v>
      </c>
      <c r="L17" s="35"/>
      <c r="M17" s="34"/>
      <c r="N17" s="34"/>
      <c r="O17" s="34"/>
      <c r="P17" s="34"/>
      <c r="Q17" s="33"/>
      <c r="R17" s="34"/>
      <c r="S17" s="33"/>
      <c r="T17" s="33"/>
      <c r="U17" s="32">
        <f>T17*0.08</f>
        <v>0</v>
      </c>
      <c r="V17" s="31">
        <v>3</v>
      </c>
      <c r="W17" s="23"/>
      <c r="X17" s="2" t="str">
        <f>IF(D17&gt;=0,"OK","ERROR")</f>
        <v>OK</v>
      </c>
      <c r="Y17" s="2" t="str">
        <f>IF(E17&lt;=0,"OK","ERROR")</f>
        <v>OK</v>
      </c>
      <c r="Z17" s="2" t="str">
        <f>IF(MIN(F17:N17)&gt;=0,"OK","ERROR")</f>
        <v>OK</v>
      </c>
      <c r="AA17" s="9"/>
      <c r="AB17" s="9"/>
      <c r="AC17" s="2" t="str">
        <f>IF(Q17&gt;=0,"OK","ERROR")</f>
        <v>OK</v>
      </c>
      <c r="AD17" s="9"/>
      <c r="AE17" s="2" t="str">
        <f>IF(MIN(S17:U17)&gt;=0,"OK","ERROR")</f>
        <v>OK</v>
      </c>
    </row>
    <row r="18" spans="1:32" ht="55.35" customHeight="1" thickTop="1" x14ac:dyDescent="0.2">
      <c r="A18" s="39"/>
      <c r="B18" s="47" t="s">
        <v>35</v>
      </c>
      <c r="C18" s="31"/>
      <c r="D18" s="46"/>
      <c r="E18" s="46"/>
      <c r="F18" s="46"/>
      <c r="G18" s="46"/>
      <c r="H18" s="46"/>
      <c r="I18" s="46"/>
      <c r="J18" s="46"/>
      <c r="K18" s="46"/>
      <c r="L18" s="46"/>
      <c r="M18" s="46"/>
      <c r="N18" s="46"/>
      <c r="O18" s="46"/>
      <c r="P18" s="46"/>
      <c r="Q18" s="46"/>
      <c r="R18" s="46"/>
      <c r="S18" s="46"/>
      <c r="T18" s="46"/>
      <c r="U18" s="46"/>
      <c r="V18" s="31"/>
      <c r="W18" s="45"/>
      <c r="X18" s="24"/>
      <c r="Y18" s="27"/>
      <c r="Z18" s="44"/>
      <c r="AA18" s="9"/>
      <c r="AB18" s="9"/>
      <c r="AC18" s="9"/>
      <c r="AD18" s="9"/>
      <c r="AE18" s="9"/>
      <c r="AF18" s="9"/>
    </row>
    <row r="19" spans="1:32" ht="25.35" customHeight="1" thickBot="1" x14ac:dyDescent="0.25">
      <c r="A19" s="39"/>
      <c r="B19" s="43" t="s">
        <v>34</v>
      </c>
      <c r="C19" s="31">
        <v>4</v>
      </c>
      <c r="D19" s="33"/>
      <c r="E19" s="33"/>
      <c r="F19" s="32">
        <f t="shared" ref="F19:F34" si="0">D19+E19</f>
        <v>0</v>
      </c>
      <c r="G19" s="33"/>
      <c r="H19" s="33"/>
      <c r="I19" s="33"/>
      <c r="J19" s="37"/>
      <c r="K19" s="36">
        <f t="shared" ref="K19:K34" si="1">F19-G19-0.8*H19-0.5*I19</f>
        <v>0</v>
      </c>
      <c r="L19" s="35"/>
      <c r="M19" s="34"/>
      <c r="N19" s="34"/>
      <c r="O19" s="34"/>
      <c r="P19" s="34"/>
      <c r="Q19" s="33"/>
      <c r="R19" s="34"/>
      <c r="S19" s="33"/>
      <c r="T19" s="34"/>
      <c r="U19" s="34"/>
      <c r="V19" s="31">
        <v>4</v>
      </c>
      <c r="W19" s="23"/>
      <c r="X19" s="2" t="str">
        <f t="shared" ref="X19:X34" si="2">IF(D19&gt;=0,"OK","ERROR")</f>
        <v>OK</v>
      </c>
      <c r="Y19" s="2" t="str">
        <f t="shared" ref="Y19:Y34" si="3">IF(E19&lt;=0,"OK","ERROR")</f>
        <v>OK</v>
      </c>
      <c r="Z19" s="2" t="str">
        <f t="shared" ref="Z19:Z34" si="4">IF(MIN(F19:N19)&gt;=0,"OK","ERROR")</f>
        <v>OK</v>
      </c>
      <c r="AA19" s="9"/>
      <c r="AB19" s="9"/>
      <c r="AC19" s="2" t="str">
        <f t="shared" ref="AC19:AC34" si="5">IF(Q19&gt;=0,"OK","ERROR")</f>
        <v>OK</v>
      </c>
      <c r="AD19" s="9"/>
      <c r="AE19" s="2" t="str">
        <f t="shared" ref="AE19:AE34" si="6">IF(MIN(S19:U19)&gt;=0,"OK","ERROR")</f>
        <v>OK</v>
      </c>
    </row>
    <row r="20" spans="1:32" ht="25.35" customHeight="1" thickTop="1" thickBot="1" x14ac:dyDescent="0.25">
      <c r="A20" s="39"/>
      <c r="B20" s="38">
        <v>0.1</v>
      </c>
      <c r="C20" s="31">
        <v>19</v>
      </c>
      <c r="D20" s="33"/>
      <c r="E20" s="33"/>
      <c r="F20" s="32">
        <f t="shared" si="0"/>
        <v>0</v>
      </c>
      <c r="G20" s="33"/>
      <c r="H20" s="33"/>
      <c r="I20" s="33"/>
      <c r="J20" s="37"/>
      <c r="K20" s="36">
        <f t="shared" si="1"/>
        <v>0</v>
      </c>
      <c r="L20" s="35"/>
      <c r="M20" s="34"/>
      <c r="N20" s="34"/>
      <c r="O20" s="34"/>
      <c r="P20" s="34"/>
      <c r="Q20" s="33"/>
      <c r="R20" s="34"/>
      <c r="S20" s="33"/>
      <c r="T20" s="32">
        <f>S20*0.1</f>
        <v>0</v>
      </c>
      <c r="U20" s="32">
        <f t="shared" ref="U20:U34" si="7">T20*0.08</f>
        <v>0</v>
      </c>
      <c r="V20" s="31">
        <v>19</v>
      </c>
      <c r="W20" s="23"/>
      <c r="X20" s="2" t="str">
        <f t="shared" si="2"/>
        <v>OK</v>
      </c>
      <c r="Y20" s="2" t="str">
        <f t="shared" si="3"/>
        <v>OK</v>
      </c>
      <c r="Z20" s="2" t="str">
        <f t="shared" si="4"/>
        <v>OK</v>
      </c>
      <c r="AA20" s="9"/>
      <c r="AB20" s="9"/>
      <c r="AC20" s="2" t="str">
        <f t="shared" si="5"/>
        <v>OK</v>
      </c>
      <c r="AD20" s="9"/>
      <c r="AE20" s="2" t="str">
        <f t="shared" si="6"/>
        <v>OK</v>
      </c>
    </row>
    <row r="21" spans="1:32" ht="25.35" customHeight="1" thickTop="1" thickBot="1" x14ac:dyDescent="0.25">
      <c r="A21" s="39"/>
      <c r="B21" s="38" t="s">
        <v>33</v>
      </c>
      <c r="C21" s="31">
        <v>5</v>
      </c>
      <c r="D21" s="33"/>
      <c r="E21" s="33"/>
      <c r="F21" s="32">
        <f t="shared" si="0"/>
        <v>0</v>
      </c>
      <c r="G21" s="33"/>
      <c r="H21" s="33"/>
      <c r="I21" s="33"/>
      <c r="J21" s="37"/>
      <c r="K21" s="36">
        <f t="shared" si="1"/>
        <v>0</v>
      </c>
      <c r="L21" s="35"/>
      <c r="M21" s="34"/>
      <c r="N21" s="34"/>
      <c r="O21" s="34"/>
      <c r="P21" s="34"/>
      <c r="Q21" s="33"/>
      <c r="R21" s="34"/>
      <c r="S21" s="33"/>
      <c r="T21" s="32">
        <f>S21*0.2</f>
        <v>0</v>
      </c>
      <c r="U21" s="32">
        <f t="shared" si="7"/>
        <v>0</v>
      </c>
      <c r="V21" s="31">
        <v>5</v>
      </c>
      <c r="W21" s="23"/>
      <c r="X21" s="2" t="str">
        <f t="shared" si="2"/>
        <v>OK</v>
      </c>
      <c r="Y21" s="2" t="str">
        <f t="shared" si="3"/>
        <v>OK</v>
      </c>
      <c r="Z21" s="2" t="str">
        <f t="shared" si="4"/>
        <v>OK</v>
      </c>
      <c r="AA21" s="9"/>
      <c r="AB21" s="9"/>
      <c r="AC21" s="2" t="str">
        <f t="shared" si="5"/>
        <v>OK</v>
      </c>
      <c r="AD21" s="9"/>
      <c r="AE21" s="2" t="str">
        <f t="shared" si="6"/>
        <v>OK</v>
      </c>
    </row>
    <row r="22" spans="1:32" ht="25.35" customHeight="1" thickTop="1" thickBot="1" x14ac:dyDescent="0.25">
      <c r="A22" s="42"/>
      <c r="B22" s="38" t="s">
        <v>29</v>
      </c>
      <c r="C22" s="31">
        <v>6</v>
      </c>
      <c r="D22" s="33"/>
      <c r="E22" s="33"/>
      <c r="F22" s="32">
        <f t="shared" si="0"/>
        <v>0</v>
      </c>
      <c r="G22" s="33"/>
      <c r="H22" s="33"/>
      <c r="I22" s="33"/>
      <c r="J22" s="37"/>
      <c r="K22" s="36">
        <f t="shared" si="1"/>
        <v>0</v>
      </c>
      <c r="L22" s="35"/>
      <c r="M22" s="34"/>
      <c r="N22" s="34"/>
      <c r="O22" s="34"/>
      <c r="P22" s="34"/>
      <c r="Q22" s="33"/>
      <c r="R22" s="34"/>
      <c r="S22" s="33"/>
      <c r="T22" s="32">
        <f>S22*0.2</f>
        <v>0</v>
      </c>
      <c r="U22" s="32">
        <f t="shared" si="7"/>
        <v>0</v>
      </c>
      <c r="V22" s="31">
        <v>6</v>
      </c>
      <c r="W22" s="23"/>
      <c r="X22" s="2" t="str">
        <f t="shared" si="2"/>
        <v>OK</v>
      </c>
      <c r="Y22" s="2" t="str">
        <f t="shared" si="3"/>
        <v>OK</v>
      </c>
      <c r="Z22" s="2" t="str">
        <f t="shared" si="4"/>
        <v>OK</v>
      </c>
      <c r="AA22" s="9"/>
      <c r="AB22" s="9"/>
      <c r="AC22" s="2" t="str">
        <f t="shared" si="5"/>
        <v>OK</v>
      </c>
      <c r="AD22" s="9"/>
      <c r="AE22" s="2" t="str">
        <f t="shared" si="6"/>
        <v>OK</v>
      </c>
    </row>
    <row r="23" spans="1:32" ht="20.85" customHeight="1" thickTop="1" thickBot="1" x14ac:dyDescent="0.25">
      <c r="A23" s="41"/>
      <c r="B23" s="38">
        <v>0.35</v>
      </c>
      <c r="C23" s="31">
        <v>7</v>
      </c>
      <c r="D23" s="33"/>
      <c r="E23" s="33"/>
      <c r="F23" s="32">
        <f t="shared" si="0"/>
        <v>0</v>
      </c>
      <c r="G23" s="33"/>
      <c r="H23" s="33"/>
      <c r="I23" s="33"/>
      <c r="J23" s="37"/>
      <c r="K23" s="36">
        <f t="shared" si="1"/>
        <v>0</v>
      </c>
      <c r="L23" s="35"/>
      <c r="M23" s="34"/>
      <c r="N23" s="34"/>
      <c r="O23" s="34"/>
      <c r="P23" s="34"/>
      <c r="Q23" s="33"/>
      <c r="R23" s="34"/>
      <c r="S23" s="33"/>
      <c r="T23" s="32">
        <f>S23*0.35</f>
        <v>0</v>
      </c>
      <c r="U23" s="32">
        <f t="shared" si="7"/>
        <v>0</v>
      </c>
      <c r="V23" s="31">
        <v>7</v>
      </c>
      <c r="W23" s="23"/>
      <c r="X23" s="2" t="str">
        <f t="shared" si="2"/>
        <v>OK</v>
      </c>
      <c r="Y23" s="2" t="str">
        <f t="shared" si="3"/>
        <v>OK</v>
      </c>
      <c r="Z23" s="2" t="str">
        <f t="shared" si="4"/>
        <v>OK</v>
      </c>
      <c r="AA23" s="9"/>
      <c r="AB23" s="9"/>
      <c r="AC23" s="2" t="str">
        <f t="shared" si="5"/>
        <v>OK</v>
      </c>
      <c r="AD23" s="9"/>
      <c r="AE23" s="2" t="str">
        <f t="shared" si="6"/>
        <v>OK</v>
      </c>
    </row>
    <row r="24" spans="1:32" ht="25.35" customHeight="1" thickTop="1" thickBot="1" x14ac:dyDescent="0.25">
      <c r="A24" s="39"/>
      <c r="B24" s="38" t="s">
        <v>32</v>
      </c>
      <c r="C24" s="31">
        <v>8</v>
      </c>
      <c r="D24" s="33"/>
      <c r="E24" s="33"/>
      <c r="F24" s="32">
        <f t="shared" si="0"/>
        <v>0</v>
      </c>
      <c r="G24" s="33"/>
      <c r="H24" s="33"/>
      <c r="I24" s="33"/>
      <c r="J24" s="37"/>
      <c r="K24" s="36">
        <f t="shared" si="1"/>
        <v>0</v>
      </c>
      <c r="L24" s="35"/>
      <c r="M24" s="34"/>
      <c r="N24" s="34"/>
      <c r="O24" s="34"/>
      <c r="P24" s="34"/>
      <c r="Q24" s="33"/>
      <c r="R24" s="34"/>
      <c r="S24" s="33"/>
      <c r="T24" s="32">
        <f>S24*0.5</f>
        <v>0</v>
      </c>
      <c r="U24" s="32">
        <f t="shared" si="7"/>
        <v>0</v>
      </c>
      <c r="V24" s="31">
        <v>8</v>
      </c>
      <c r="W24" s="23"/>
      <c r="X24" s="2" t="str">
        <f t="shared" si="2"/>
        <v>OK</v>
      </c>
      <c r="Y24" s="2" t="str">
        <f t="shared" si="3"/>
        <v>OK</v>
      </c>
      <c r="Z24" s="2" t="str">
        <f t="shared" si="4"/>
        <v>OK</v>
      </c>
      <c r="AA24" s="9"/>
      <c r="AB24" s="9"/>
      <c r="AC24" s="2" t="str">
        <f t="shared" si="5"/>
        <v>OK</v>
      </c>
      <c r="AD24" s="9"/>
      <c r="AE24" s="2" t="str">
        <f t="shared" si="6"/>
        <v>OK</v>
      </c>
    </row>
    <row r="25" spans="1:32" ht="25.35" customHeight="1" thickTop="1" thickBot="1" x14ac:dyDescent="0.25">
      <c r="A25" s="39"/>
      <c r="B25" s="38" t="s">
        <v>29</v>
      </c>
      <c r="C25" s="31">
        <v>9</v>
      </c>
      <c r="D25" s="33"/>
      <c r="E25" s="33"/>
      <c r="F25" s="32">
        <f t="shared" si="0"/>
        <v>0</v>
      </c>
      <c r="G25" s="33"/>
      <c r="H25" s="33"/>
      <c r="I25" s="33"/>
      <c r="J25" s="37"/>
      <c r="K25" s="36">
        <f t="shared" si="1"/>
        <v>0</v>
      </c>
      <c r="L25" s="35"/>
      <c r="M25" s="34"/>
      <c r="N25" s="34"/>
      <c r="O25" s="34"/>
      <c r="P25" s="34"/>
      <c r="Q25" s="33"/>
      <c r="R25" s="34"/>
      <c r="S25" s="33"/>
      <c r="T25" s="32">
        <f>S25*0.5</f>
        <v>0</v>
      </c>
      <c r="U25" s="32">
        <f t="shared" si="7"/>
        <v>0</v>
      </c>
      <c r="V25" s="31">
        <v>9</v>
      </c>
      <c r="W25" s="23"/>
      <c r="X25" s="2" t="str">
        <f t="shared" si="2"/>
        <v>OK</v>
      </c>
      <c r="Y25" s="2" t="str">
        <f t="shared" si="3"/>
        <v>OK</v>
      </c>
      <c r="Z25" s="2" t="str">
        <f t="shared" si="4"/>
        <v>OK</v>
      </c>
      <c r="AA25" s="9"/>
      <c r="AB25" s="9"/>
      <c r="AC25" s="2" t="str">
        <f t="shared" si="5"/>
        <v>OK</v>
      </c>
      <c r="AD25" s="9"/>
      <c r="AE25" s="2" t="str">
        <f t="shared" si="6"/>
        <v>OK</v>
      </c>
    </row>
    <row r="26" spans="1:32" ht="25.35" customHeight="1" thickTop="1" thickBot="1" x14ac:dyDescent="0.25">
      <c r="A26" s="39"/>
      <c r="B26" s="38" t="s">
        <v>31</v>
      </c>
      <c r="C26" s="31">
        <v>11</v>
      </c>
      <c r="D26" s="33"/>
      <c r="E26" s="33"/>
      <c r="F26" s="32">
        <f t="shared" si="0"/>
        <v>0</v>
      </c>
      <c r="G26" s="33"/>
      <c r="H26" s="33"/>
      <c r="I26" s="33"/>
      <c r="J26" s="37"/>
      <c r="K26" s="36">
        <f t="shared" si="1"/>
        <v>0</v>
      </c>
      <c r="L26" s="35"/>
      <c r="M26" s="34"/>
      <c r="N26" s="34"/>
      <c r="O26" s="34"/>
      <c r="P26" s="34"/>
      <c r="Q26" s="33"/>
      <c r="R26" s="34"/>
      <c r="S26" s="33"/>
      <c r="T26" s="32">
        <f>S26*0.75</f>
        <v>0</v>
      </c>
      <c r="U26" s="32">
        <f t="shared" si="7"/>
        <v>0</v>
      </c>
      <c r="V26" s="31">
        <v>11</v>
      </c>
      <c r="W26" s="23"/>
      <c r="X26" s="2" t="str">
        <f t="shared" si="2"/>
        <v>OK</v>
      </c>
      <c r="Y26" s="2" t="str">
        <f t="shared" si="3"/>
        <v>OK</v>
      </c>
      <c r="Z26" s="2" t="str">
        <f t="shared" si="4"/>
        <v>OK</v>
      </c>
      <c r="AA26" s="9"/>
      <c r="AB26" s="9"/>
      <c r="AC26" s="2" t="str">
        <f t="shared" si="5"/>
        <v>OK</v>
      </c>
      <c r="AD26" s="9"/>
      <c r="AE26" s="2" t="str">
        <f t="shared" si="6"/>
        <v>OK</v>
      </c>
    </row>
    <row r="27" spans="1:32" ht="25.35" customHeight="1" thickTop="1" thickBot="1" x14ac:dyDescent="0.25">
      <c r="A27" s="39"/>
      <c r="B27" s="40" t="s">
        <v>28</v>
      </c>
      <c r="C27" s="31">
        <v>20</v>
      </c>
      <c r="D27" s="33"/>
      <c r="E27" s="33"/>
      <c r="F27" s="32">
        <f t="shared" si="0"/>
        <v>0</v>
      </c>
      <c r="G27" s="33"/>
      <c r="H27" s="33"/>
      <c r="I27" s="33"/>
      <c r="J27" s="37"/>
      <c r="K27" s="36">
        <f t="shared" si="1"/>
        <v>0</v>
      </c>
      <c r="L27" s="35"/>
      <c r="M27" s="34"/>
      <c r="N27" s="34"/>
      <c r="O27" s="34"/>
      <c r="P27" s="34"/>
      <c r="Q27" s="33"/>
      <c r="R27" s="34"/>
      <c r="S27" s="33"/>
      <c r="T27" s="32">
        <f>S27*0.75</f>
        <v>0</v>
      </c>
      <c r="U27" s="32">
        <f t="shared" si="7"/>
        <v>0</v>
      </c>
      <c r="V27" s="31">
        <v>20</v>
      </c>
      <c r="W27" s="23"/>
      <c r="X27" s="2" t="str">
        <f t="shared" si="2"/>
        <v>OK</v>
      </c>
      <c r="Y27" s="2" t="str">
        <f t="shared" si="3"/>
        <v>OK</v>
      </c>
      <c r="Z27" s="2" t="str">
        <f t="shared" si="4"/>
        <v>OK</v>
      </c>
      <c r="AA27" s="9"/>
      <c r="AB27" s="9"/>
      <c r="AC27" s="2" t="str">
        <f t="shared" si="5"/>
        <v>OK</v>
      </c>
      <c r="AD27" s="9"/>
      <c r="AE27" s="2" t="str">
        <f t="shared" si="6"/>
        <v>OK</v>
      </c>
    </row>
    <row r="28" spans="1:32" ht="24.6" customHeight="1" thickTop="1" thickBot="1" x14ac:dyDescent="0.25">
      <c r="A28" s="39"/>
      <c r="B28" s="38" t="s">
        <v>30</v>
      </c>
      <c r="C28" s="31">
        <v>12</v>
      </c>
      <c r="D28" s="33"/>
      <c r="E28" s="33"/>
      <c r="F28" s="32">
        <f t="shared" si="0"/>
        <v>0</v>
      </c>
      <c r="G28" s="33"/>
      <c r="H28" s="33"/>
      <c r="I28" s="33"/>
      <c r="J28" s="37"/>
      <c r="K28" s="36">
        <f t="shared" si="1"/>
        <v>0</v>
      </c>
      <c r="L28" s="35"/>
      <c r="M28" s="34"/>
      <c r="N28" s="34"/>
      <c r="O28" s="34"/>
      <c r="P28" s="34"/>
      <c r="Q28" s="33"/>
      <c r="R28" s="34"/>
      <c r="S28" s="33"/>
      <c r="T28" s="32">
        <f>S28*1</f>
        <v>0</v>
      </c>
      <c r="U28" s="32">
        <f t="shared" si="7"/>
        <v>0</v>
      </c>
      <c r="V28" s="31">
        <v>12</v>
      </c>
      <c r="W28" s="23"/>
      <c r="X28" s="2" t="str">
        <f t="shared" si="2"/>
        <v>OK</v>
      </c>
      <c r="Y28" s="2" t="str">
        <f t="shared" si="3"/>
        <v>OK</v>
      </c>
      <c r="Z28" s="2" t="str">
        <f t="shared" si="4"/>
        <v>OK</v>
      </c>
      <c r="AA28" s="9"/>
      <c r="AB28" s="9"/>
      <c r="AC28" s="2" t="str">
        <f t="shared" si="5"/>
        <v>OK</v>
      </c>
      <c r="AD28" s="9"/>
      <c r="AE28" s="2" t="str">
        <f t="shared" si="6"/>
        <v>OK</v>
      </c>
    </row>
    <row r="29" spans="1:32" ht="24.6" customHeight="1" thickTop="1" thickBot="1" x14ac:dyDescent="0.25">
      <c r="A29" s="39"/>
      <c r="B29" s="38" t="s">
        <v>29</v>
      </c>
      <c r="C29" s="31">
        <v>13</v>
      </c>
      <c r="D29" s="33"/>
      <c r="E29" s="33"/>
      <c r="F29" s="32">
        <f t="shared" si="0"/>
        <v>0</v>
      </c>
      <c r="G29" s="33"/>
      <c r="H29" s="33"/>
      <c r="I29" s="33"/>
      <c r="J29" s="37"/>
      <c r="K29" s="36">
        <f t="shared" si="1"/>
        <v>0</v>
      </c>
      <c r="L29" s="35"/>
      <c r="M29" s="34"/>
      <c r="N29" s="34"/>
      <c r="O29" s="34"/>
      <c r="P29" s="34"/>
      <c r="Q29" s="33"/>
      <c r="R29" s="34"/>
      <c r="S29" s="33"/>
      <c r="T29" s="32">
        <f>S29*1</f>
        <v>0</v>
      </c>
      <c r="U29" s="32">
        <f t="shared" si="7"/>
        <v>0</v>
      </c>
      <c r="V29" s="31">
        <v>13</v>
      </c>
      <c r="W29" s="23"/>
      <c r="X29" s="2" t="str">
        <f t="shared" si="2"/>
        <v>OK</v>
      </c>
      <c r="Y29" s="2" t="str">
        <f t="shared" si="3"/>
        <v>OK</v>
      </c>
      <c r="Z29" s="2" t="str">
        <f t="shared" si="4"/>
        <v>OK</v>
      </c>
      <c r="AA29" s="9"/>
      <c r="AB29" s="9"/>
      <c r="AC29" s="2" t="str">
        <f t="shared" si="5"/>
        <v>OK</v>
      </c>
      <c r="AD29" s="9"/>
      <c r="AE29" s="2" t="str">
        <f t="shared" si="6"/>
        <v>OK</v>
      </c>
    </row>
    <row r="30" spans="1:32" ht="24.6" customHeight="1" thickTop="1" thickBot="1" x14ac:dyDescent="0.25">
      <c r="A30" s="39"/>
      <c r="B30" s="40" t="s">
        <v>28</v>
      </c>
      <c r="C30" s="31">
        <v>14</v>
      </c>
      <c r="D30" s="33"/>
      <c r="E30" s="33"/>
      <c r="F30" s="32">
        <f t="shared" si="0"/>
        <v>0</v>
      </c>
      <c r="G30" s="33"/>
      <c r="H30" s="33"/>
      <c r="I30" s="33"/>
      <c r="J30" s="37"/>
      <c r="K30" s="36">
        <f t="shared" si="1"/>
        <v>0</v>
      </c>
      <c r="L30" s="35"/>
      <c r="M30" s="34"/>
      <c r="N30" s="34"/>
      <c r="O30" s="34"/>
      <c r="P30" s="34"/>
      <c r="Q30" s="33"/>
      <c r="R30" s="34"/>
      <c r="S30" s="33"/>
      <c r="T30" s="32">
        <f>S30*1</f>
        <v>0</v>
      </c>
      <c r="U30" s="32">
        <f t="shared" si="7"/>
        <v>0</v>
      </c>
      <c r="V30" s="31">
        <v>14</v>
      </c>
      <c r="W30" s="23"/>
      <c r="X30" s="2" t="str">
        <f t="shared" si="2"/>
        <v>OK</v>
      </c>
      <c r="Y30" s="2" t="str">
        <f t="shared" si="3"/>
        <v>OK</v>
      </c>
      <c r="Z30" s="2" t="str">
        <f t="shared" si="4"/>
        <v>OK</v>
      </c>
      <c r="AA30" s="9"/>
      <c r="AB30" s="9"/>
      <c r="AC30" s="2" t="str">
        <f t="shared" si="5"/>
        <v>OK</v>
      </c>
      <c r="AD30" s="9"/>
      <c r="AE30" s="2" t="str">
        <f t="shared" si="6"/>
        <v>OK</v>
      </c>
    </row>
    <row r="31" spans="1:32" ht="24.6" customHeight="1" thickTop="1" thickBot="1" x14ac:dyDescent="0.25">
      <c r="A31" s="39"/>
      <c r="B31" s="38" t="s">
        <v>26</v>
      </c>
      <c r="C31" s="31">
        <v>15</v>
      </c>
      <c r="D31" s="33"/>
      <c r="E31" s="33"/>
      <c r="F31" s="32">
        <f t="shared" si="0"/>
        <v>0</v>
      </c>
      <c r="G31" s="33"/>
      <c r="H31" s="33"/>
      <c r="I31" s="33"/>
      <c r="J31" s="37"/>
      <c r="K31" s="36">
        <f t="shared" si="1"/>
        <v>0</v>
      </c>
      <c r="L31" s="35"/>
      <c r="M31" s="34"/>
      <c r="N31" s="34"/>
      <c r="O31" s="34"/>
      <c r="P31" s="34"/>
      <c r="Q31" s="33"/>
      <c r="R31" s="34"/>
      <c r="S31" s="33"/>
      <c r="T31" s="32">
        <f>S31*1</f>
        <v>0</v>
      </c>
      <c r="U31" s="32">
        <f t="shared" si="7"/>
        <v>0</v>
      </c>
      <c r="V31" s="31">
        <v>15</v>
      </c>
      <c r="W31" s="23"/>
      <c r="X31" s="2" t="str">
        <f t="shared" si="2"/>
        <v>OK</v>
      </c>
      <c r="Y31" s="2" t="str">
        <f t="shared" si="3"/>
        <v>OK</v>
      </c>
      <c r="Z31" s="2" t="str">
        <f t="shared" si="4"/>
        <v>OK</v>
      </c>
      <c r="AA31" s="9"/>
      <c r="AB31" s="9"/>
      <c r="AC31" s="2" t="str">
        <f t="shared" si="5"/>
        <v>OK</v>
      </c>
      <c r="AD31" s="9"/>
      <c r="AE31" s="2" t="str">
        <f t="shared" si="6"/>
        <v>OK</v>
      </c>
    </row>
    <row r="32" spans="1:32" ht="24.6" customHeight="1" thickTop="1" thickBot="1" x14ac:dyDescent="0.25">
      <c r="A32" s="39"/>
      <c r="B32" s="38" t="s">
        <v>27</v>
      </c>
      <c r="C32" s="31">
        <v>16</v>
      </c>
      <c r="D32" s="33"/>
      <c r="E32" s="33"/>
      <c r="F32" s="32">
        <f t="shared" si="0"/>
        <v>0</v>
      </c>
      <c r="G32" s="33"/>
      <c r="H32" s="33"/>
      <c r="I32" s="33"/>
      <c r="J32" s="37"/>
      <c r="K32" s="36">
        <f t="shared" si="1"/>
        <v>0</v>
      </c>
      <c r="L32" s="35"/>
      <c r="M32" s="34"/>
      <c r="N32" s="34"/>
      <c r="O32" s="34"/>
      <c r="P32" s="34"/>
      <c r="Q32" s="33"/>
      <c r="R32" s="34"/>
      <c r="S32" s="33"/>
      <c r="T32" s="32">
        <f>S32*1.5</f>
        <v>0</v>
      </c>
      <c r="U32" s="32">
        <f t="shared" si="7"/>
        <v>0</v>
      </c>
      <c r="V32" s="31">
        <v>16</v>
      </c>
      <c r="W32" s="23"/>
      <c r="X32" s="2" t="str">
        <f t="shared" si="2"/>
        <v>OK</v>
      </c>
      <c r="Y32" s="2" t="str">
        <f t="shared" si="3"/>
        <v>OK</v>
      </c>
      <c r="Z32" s="2" t="str">
        <f t="shared" si="4"/>
        <v>OK</v>
      </c>
      <c r="AA32" s="9"/>
      <c r="AB32" s="9"/>
      <c r="AC32" s="2" t="str">
        <f t="shared" si="5"/>
        <v>OK</v>
      </c>
      <c r="AD32" s="9"/>
      <c r="AE32" s="2" t="str">
        <f t="shared" si="6"/>
        <v>OK</v>
      </c>
    </row>
    <row r="33" spans="1:32" ht="24.6" customHeight="1" thickTop="1" thickBot="1" x14ac:dyDescent="0.25">
      <c r="A33" s="39"/>
      <c r="B33" s="38" t="s">
        <v>26</v>
      </c>
      <c r="C33" s="31">
        <v>17</v>
      </c>
      <c r="D33" s="33"/>
      <c r="E33" s="33"/>
      <c r="F33" s="32">
        <f t="shared" si="0"/>
        <v>0</v>
      </c>
      <c r="G33" s="33"/>
      <c r="H33" s="33"/>
      <c r="I33" s="33"/>
      <c r="J33" s="37"/>
      <c r="K33" s="36">
        <f t="shared" si="1"/>
        <v>0</v>
      </c>
      <c r="L33" s="35"/>
      <c r="M33" s="34"/>
      <c r="N33" s="34"/>
      <c r="O33" s="34"/>
      <c r="P33" s="34"/>
      <c r="Q33" s="33"/>
      <c r="R33" s="34"/>
      <c r="S33" s="33"/>
      <c r="T33" s="32">
        <f>S33*1.5</f>
        <v>0</v>
      </c>
      <c r="U33" s="32">
        <f t="shared" si="7"/>
        <v>0</v>
      </c>
      <c r="V33" s="31">
        <v>17</v>
      </c>
      <c r="W33" s="23"/>
      <c r="X33" s="2" t="str">
        <f t="shared" si="2"/>
        <v>OK</v>
      </c>
      <c r="Y33" s="2" t="str">
        <f t="shared" si="3"/>
        <v>OK</v>
      </c>
      <c r="Z33" s="2" t="str">
        <f t="shared" si="4"/>
        <v>OK</v>
      </c>
      <c r="AA33" s="9"/>
      <c r="AB33" s="9"/>
      <c r="AC33" s="2" t="str">
        <f t="shared" si="5"/>
        <v>OK</v>
      </c>
      <c r="AD33" s="9"/>
      <c r="AE33" s="2" t="str">
        <f t="shared" si="6"/>
        <v>OK</v>
      </c>
    </row>
    <row r="34" spans="1:32" ht="25.35" customHeight="1" thickTop="1" thickBot="1" x14ac:dyDescent="0.25">
      <c r="A34" s="39"/>
      <c r="B34" s="38">
        <v>3.5</v>
      </c>
      <c r="C34" s="31">
        <v>18</v>
      </c>
      <c r="D34" s="33"/>
      <c r="E34" s="33"/>
      <c r="F34" s="32">
        <f t="shared" si="0"/>
        <v>0</v>
      </c>
      <c r="G34" s="33"/>
      <c r="H34" s="33"/>
      <c r="I34" s="33"/>
      <c r="J34" s="37"/>
      <c r="K34" s="36">
        <f t="shared" si="1"/>
        <v>0</v>
      </c>
      <c r="L34" s="35"/>
      <c r="M34" s="34"/>
      <c r="N34" s="34"/>
      <c r="O34" s="34"/>
      <c r="P34" s="34"/>
      <c r="Q34" s="33"/>
      <c r="R34" s="34"/>
      <c r="S34" s="33"/>
      <c r="T34" s="32">
        <f>S34*3.5</f>
        <v>0</v>
      </c>
      <c r="U34" s="32">
        <f t="shared" si="7"/>
        <v>0</v>
      </c>
      <c r="V34" s="31">
        <v>18</v>
      </c>
      <c r="W34" s="23"/>
      <c r="X34" s="2" t="str">
        <f t="shared" si="2"/>
        <v>OK</v>
      </c>
      <c r="Y34" s="2" t="str">
        <f t="shared" si="3"/>
        <v>OK</v>
      </c>
      <c r="Z34" s="2" t="str">
        <f t="shared" si="4"/>
        <v>OK</v>
      </c>
      <c r="AA34" s="9"/>
      <c r="AB34" s="9"/>
      <c r="AC34" s="2" t="str">
        <f t="shared" si="5"/>
        <v>OK</v>
      </c>
      <c r="AD34" s="9"/>
      <c r="AE34" s="2" t="str">
        <f t="shared" si="6"/>
        <v>OK</v>
      </c>
    </row>
    <row r="35" spans="1:32" ht="7.5" customHeight="1" thickTop="1" x14ac:dyDescent="0.2">
      <c r="A35" s="30"/>
      <c r="B35" s="29"/>
      <c r="C35" s="12"/>
      <c r="D35" s="28"/>
      <c r="E35" s="28"/>
      <c r="F35" s="28"/>
      <c r="G35" s="28"/>
      <c r="H35" s="28"/>
      <c r="I35" s="28"/>
      <c r="J35" s="28"/>
      <c r="K35" s="28"/>
      <c r="L35" s="28"/>
      <c r="M35" s="28"/>
      <c r="N35" s="28"/>
      <c r="O35" s="28"/>
      <c r="P35" s="28"/>
      <c r="Q35" s="28"/>
      <c r="R35" s="28"/>
      <c r="S35" s="28"/>
      <c r="T35" s="28"/>
      <c r="U35" s="28"/>
      <c r="V35" s="12"/>
      <c r="W35" s="24"/>
      <c r="X35" s="24"/>
      <c r="Y35" s="27"/>
      <c r="Z35" s="27"/>
      <c r="AA35" s="9"/>
      <c r="AB35" s="9"/>
      <c r="AC35" s="9"/>
      <c r="AD35" s="9"/>
      <c r="AE35" s="9"/>
      <c r="AF35" s="9"/>
    </row>
    <row r="36" spans="1:32" ht="18.75" customHeight="1" x14ac:dyDescent="0.2">
      <c r="A36"/>
      <c r="B36" s="26" t="str">
        <f>"Version: "&amp;D43</f>
        <v>Version: 2.01.E0</v>
      </c>
      <c r="C36"/>
      <c r="D36"/>
      <c r="E36"/>
      <c r="F36"/>
      <c r="G36"/>
      <c r="H36"/>
      <c r="I36"/>
      <c r="J36"/>
      <c r="K36"/>
      <c r="L36"/>
      <c r="M36"/>
      <c r="N36"/>
      <c r="O36"/>
      <c r="P36"/>
      <c r="Q36"/>
      <c r="R36"/>
      <c r="S36"/>
      <c r="T36"/>
      <c r="U36"/>
      <c r="V36" s="25" t="s">
        <v>25</v>
      </c>
      <c r="W36" s="23"/>
      <c r="X36" s="23"/>
      <c r="Y36" s="24"/>
      <c r="Z36" s="24"/>
      <c r="AA36" s="9"/>
      <c r="AB36" s="9"/>
      <c r="AC36" s="9"/>
      <c r="AD36" s="9"/>
      <c r="AE36" s="9"/>
      <c r="AF36" s="9"/>
    </row>
    <row r="37" spans="1:32" ht="18.75" customHeight="1" x14ac:dyDescent="0.2">
      <c r="A37"/>
      <c r="B37"/>
      <c r="C37"/>
      <c r="D37"/>
      <c r="E37"/>
      <c r="F37"/>
      <c r="G37"/>
      <c r="H37"/>
      <c r="I37"/>
      <c r="J37"/>
      <c r="K37"/>
      <c r="L37"/>
      <c r="M37"/>
      <c r="N37"/>
      <c r="O37"/>
      <c r="P37"/>
      <c r="Q37"/>
      <c r="R37"/>
      <c r="S37"/>
      <c r="T37"/>
      <c r="U37"/>
      <c r="V37" s="9"/>
      <c r="W37" s="23"/>
      <c r="X37" s="23"/>
      <c r="Y37" s="23"/>
      <c r="Z37" s="23"/>
    </row>
    <row r="38" spans="1:32" ht="18.75" customHeight="1" x14ac:dyDescent="0.2">
      <c r="Q38" s="22"/>
      <c r="S38" s="22"/>
      <c r="V38" s="9"/>
    </row>
    <row r="39" spans="1:32" ht="18.75" customHeight="1" x14ac:dyDescent="0.2">
      <c r="Q39" s="22"/>
      <c r="S39" s="22"/>
    </row>
    <row r="40" spans="1:32" ht="18.75" customHeight="1" x14ac:dyDescent="0.2">
      <c r="B40" s="21"/>
      <c r="C40" s="20" t="s">
        <v>24</v>
      </c>
      <c r="D40" s="19" t="str">
        <f>U2</f>
        <v>XXXXXX</v>
      </c>
    </row>
    <row r="41" spans="1:32" ht="18.75" customHeight="1" x14ac:dyDescent="0.2">
      <c r="B41" s="15"/>
      <c r="D41" s="14" t="str">
        <f>U1</f>
        <v>P_CRSABIS_03</v>
      </c>
    </row>
    <row r="42" spans="1:32" ht="18.75" customHeight="1" x14ac:dyDescent="0.2">
      <c r="B42" s="15"/>
      <c r="D42" s="18" t="str">
        <f>U3</f>
        <v>DD.MM.YYYY</v>
      </c>
    </row>
    <row r="43" spans="1:32" ht="18.75" customHeight="1" x14ac:dyDescent="0.2">
      <c r="B43" s="17"/>
      <c r="D43" s="16" t="s">
        <v>23</v>
      </c>
    </row>
    <row r="44" spans="1:32" ht="18.75" customHeight="1" x14ac:dyDescent="0.2">
      <c r="B44" s="15"/>
      <c r="D44" s="14" t="str">
        <f>D13</f>
        <v>col. 01</v>
      </c>
    </row>
    <row r="45" spans="1:32" ht="18.75" customHeight="1" x14ac:dyDescent="0.2">
      <c r="B45" s="13"/>
      <c r="C45" s="12"/>
      <c r="D45" s="11">
        <f>COUNTIF(D49:U54,"ERROR")+COUNTIF(X14:AE35,"ERROR")</f>
        <v>0</v>
      </c>
    </row>
    <row r="46" spans="1:32" ht="20.85" customHeight="1" x14ac:dyDescent="0.2">
      <c r="B46" s="9"/>
      <c r="C46" s="8"/>
      <c r="D46" s="10"/>
    </row>
    <row r="47" spans="1:32" x14ac:dyDescent="0.2">
      <c r="B47" s="9"/>
      <c r="C47" s="8"/>
      <c r="D47" s="7"/>
    </row>
    <row r="48" spans="1:32" x14ac:dyDescent="0.2">
      <c r="D48" s="6" t="s">
        <v>22</v>
      </c>
      <c r="E48" s="6" t="s">
        <v>21</v>
      </c>
      <c r="F48" s="6" t="s">
        <v>20</v>
      </c>
      <c r="G48" s="6" t="s">
        <v>19</v>
      </c>
      <c r="H48" s="6" t="s">
        <v>18</v>
      </c>
      <c r="I48" s="6" t="s">
        <v>17</v>
      </c>
      <c r="J48" s="6" t="s">
        <v>16</v>
      </c>
      <c r="K48" s="6" t="s">
        <v>15</v>
      </c>
      <c r="L48" s="6" t="s">
        <v>14</v>
      </c>
      <c r="M48" s="6" t="s">
        <v>13</v>
      </c>
      <c r="N48" s="6" t="s">
        <v>12</v>
      </c>
      <c r="O48" s="6" t="s">
        <v>11</v>
      </c>
      <c r="P48" s="6" t="s">
        <v>10</v>
      </c>
      <c r="Q48" s="6" t="s">
        <v>9</v>
      </c>
      <c r="R48" s="6" t="s">
        <v>8</v>
      </c>
      <c r="S48" s="6" t="s">
        <v>7</v>
      </c>
      <c r="T48" s="6" t="s">
        <v>6</v>
      </c>
      <c r="U48" s="6" t="s">
        <v>5</v>
      </c>
      <c r="V48"/>
      <c r="W48"/>
    </row>
    <row r="49" spans="2:23" x14ac:dyDescent="0.2">
      <c r="B49" s="4" t="s">
        <v>4</v>
      </c>
      <c r="C49" s="5"/>
      <c r="D49" s="2" t="str">
        <f>IF(ROUND(D17+D16,0)=ROUND(D14,0),"OK","ERROR")</f>
        <v>OK</v>
      </c>
      <c r="E49" s="2" t="str">
        <f>IF(ROUND(E17+E16,0)=ROUND(E14,0),"OK","ERROR")</f>
        <v>OK</v>
      </c>
      <c r="F49" s="2" t="str">
        <f>IF(ROUND(F17+F16,0)=ROUND(F14,0),"OK","ERROR")</f>
        <v>OK</v>
      </c>
      <c r="G49" s="2" t="str">
        <f>IF(ROUND(G17,0)=ROUND(G14,0),"OK","ERROR")</f>
        <v>OK</v>
      </c>
      <c r="H49" s="2" t="str">
        <f>IF(ROUND(H17,0)=ROUND(H14,0),"OK","ERROR")</f>
        <v>OK</v>
      </c>
      <c r="I49" s="2" t="str">
        <f>IF(ROUND(I17,0)=ROUND(I14,0),"OK","ERROR")</f>
        <v>OK</v>
      </c>
      <c r="J49" s="2" t="str">
        <f>IF(ROUND(J17,0)=ROUND(J14,0),"OK","ERROR")</f>
        <v>OK</v>
      </c>
      <c r="K49" s="2" t="str">
        <f>IF(AND(ROUND(K16+K17,0)=ROUND(K14,0),ROUND(K14,0)=ROUND(K19+K20+K21+K23+K24+K26+K28+K32+K34,0)),"OK","ERROR")</f>
        <v>OK</v>
      </c>
      <c r="L49"/>
      <c r="M49"/>
      <c r="N49"/>
      <c r="O49"/>
      <c r="P49"/>
      <c r="Q49" s="2" t="str">
        <f>IF(AND(ROUND(Q17+Q16,0)=ROUND(Q14,0),ROUND(K14+O14+P14,0)=ROUND(Q14,0)),"OK","ERROR")</f>
        <v>OK</v>
      </c>
      <c r="R49"/>
      <c r="S49" s="2" t="str">
        <f>IF(AND(ROUND(S17+S16,0)=ROUND(S14,0),ROUND(Q14+R14,0)=ROUND(S14,0)),"OK","ERROR")</f>
        <v>OK</v>
      </c>
      <c r="T49" s="2" t="str">
        <f>IF(ROUND(T17+T16,0)=ROUND(T14,0),"OK","ERROR")</f>
        <v>OK</v>
      </c>
      <c r="U49" s="2" t="str">
        <f>IF(ROUND(U17+U16,0)=ROUND(U14,0),"OK","ERROR")</f>
        <v>OK</v>
      </c>
      <c r="V49"/>
      <c r="W49"/>
    </row>
    <row r="50" spans="2:23" x14ac:dyDescent="0.2">
      <c r="B50" s="4" t="s">
        <v>3</v>
      </c>
      <c r="C50" s="3"/>
      <c r="D50" s="2" t="str">
        <f>IF(ROUND(D22,0)&lt;=ROUND(D21,0),"OK","ERROR")</f>
        <v>OK</v>
      </c>
      <c r="E50" s="2" t="str">
        <f>IF(ROUND(E22,0)&gt;=ROUND(E21,0),"OK","ERROR")</f>
        <v>OK</v>
      </c>
      <c r="F50" s="2" t="str">
        <f t="shared" ref="F50:K50" si="8">IF(ROUND(F22,0)&lt;=ROUND(F21,0),"OK","ERROR")</f>
        <v>OK</v>
      </c>
      <c r="G50" s="2" t="str">
        <f t="shared" si="8"/>
        <v>OK</v>
      </c>
      <c r="H50" s="2" t="str">
        <f t="shared" si="8"/>
        <v>OK</v>
      </c>
      <c r="I50" s="2" t="str">
        <f t="shared" si="8"/>
        <v>OK</v>
      </c>
      <c r="J50" s="2" t="str">
        <f t="shared" si="8"/>
        <v>OK</v>
      </c>
      <c r="K50" s="2" t="str">
        <f t="shared" si="8"/>
        <v>OK</v>
      </c>
      <c r="L50"/>
      <c r="M50"/>
      <c r="N50"/>
      <c r="O50"/>
      <c r="P50"/>
      <c r="Q50" s="2" t="str">
        <f>IF(ROUND(Q22,0)&lt;=ROUND(Q21,0),"OK","ERROR")</f>
        <v>OK</v>
      </c>
      <c r="R50"/>
      <c r="S50" s="2" t="str">
        <f>IF(ROUND(S22,0)&lt;=ROUND(S21,0),"OK","ERROR")</f>
        <v>OK</v>
      </c>
      <c r="T50" s="2" t="str">
        <f>IF(ROUND(T22,0)&lt;=ROUND(T21,0),"OK","ERROR")</f>
        <v>OK</v>
      </c>
      <c r="U50" s="2" t="str">
        <f>IF(ROUND(U22,0)&lt;=ROUND(U21,0),"OK","ERROR")</f>
        <v>OK</v>
      </c>
      <c r="V50"/>
      <c r="W50"/>
    </row>
    <row r="51" spans="2:23" x14ac:dyDescent="0.2">
      <c r="B51" s="4" t="s">
        <v>2</v>
      </c>
      <c r="C51" s="3"/>
      <c r="D51" s="2" t="str">
        <f>IF(ROUND(D25,0)&lt;=ROUND(D24,0),"OK","ERROR")</f>
        <v>OK</v>
      </c>
      <c r="E51" s="2" t="str">
        <f>IF(ROUND(E25,0)&gt;=ROUND(E24,0),"OK","ERROR")</f>
        <v>OK</v>
      </c>
      <c r="F51" s="2" t="str">
        <f t="shared" ref="F51:K51" si="9">IF(ROUND(F25,0)&lt;=ROUND(F24,0),"OK","ERROR")</f>
        <v>OK</v>
      </c>
      <c r="G51" s="2" t="str">
        <f t="shared" si="9"/>
        <v>OK</v>
      </c>
      <c r="H51" s="2" t="str">
        <f t="shared" si="9"/>
        <v>OK</v>
      </c>
      <c r="I51" s="2" t="str">
        <f t="shared" si="9"/>
        <v>OK</v>
      </c>
      <c r="J51" s="2" t="str">
        <f t="shared" si="9"/>
        <v>OK</v>
      </c>
      <c r="K51" s="2" t="str">
        <f t="shared" si="9"/>
        <v>OK</v>
      </c>
      <c r="L51"/>
      <c r="M51"/>
      <c r="N51"/>
      <c r="O51"/>
      <c r="P51"/>
      <c r="Q51" s="2" t="str">
        <f>IF(ROUND(Q25,0)&lt;=ROUND(Q24,0),"OK","ERROR")</f>
        <v>OK</v>
      </c>
      <c r="R51"/>
      <c r="S51" s="2" t="str">
        <f>IF(ROUND(S25,0)&lt;=ROUND(S24,0),"OK","ERROR")</f>
        <v>OK</v>
      </c>
      <c r="T51" s="2" t="str">
        <f>IF(ROUND(T25,0)&lt;=ROUND(T24,0),"OK","ERROR")</f>
        <v>OK</v>
      </c>
      <c r="U51" s="2" t="str">
        <f>IF(ROUND(U25,0)&lt;=ROUND(U24,0),"OK","ERROR")</f>
        <v>OK</v>
      </c>
      <c r="V51"/>
      <c r="W51"/>
    </row>
    <row r="52" spans="2:23" x14ac:dyDescent="0.2">
      <c r="B52" s="4" t="s">
        <v>1</v>
      </c>
      <c r="C52" s="3"/>
      <c r="D52" s="2" t="str">
        <f>IF(ROUND(D27,0)&lt;=ROUND(D26,0),"OK","ERROR")</f>
        <v>OK</v>
      </c>
      <c r="E52" s="2" t="str">
        <f>IF(ROUND(E27,0)&gt;=ROUND(E26,0),"OK","ERROR")</f>
        <v>OK</v>
      </c>
      <c r="F52" s="2" t="str">
        <f t="shared" ref="F52:K52" si="10">IF(ROUND(F27,0)&lt;=ROUND(F26,0),"OK","ERROR")</f>
        <v>OK</v>
      </c>
      <c r="G52" s="2" t="str">
        <f t="shared" si="10"/>
        <v>OK</v>
      </c>
      <c r="H52" s="2" t="str">
        <f t="shared" si="10"/>
        <v>OK</v>
      </c>
      <c r="I52" s="2" t="str">
        <f t="shared" si="10"/>
        <v>OK</v>
      </c>
      <c r="J52" s="2" t="str">
        <f t="shared" si="10"/>
        <v>OK</v>
      </c>
      <c r="K52" s="2" t="str">
        <f t="shared" si="10"/>
        <v>OK</v>
      </c>
      <c r="L52"/>
      <c r="M52"/>
      <c r="N52"/>
      <c r="O52"/>
      <c r="P52"/>
      <c r="Q52" s="2" t="str">
        <f>IF(ROUND(Q27,0)&lt;=ROUND(Q26,0),"OK","ERROR")</f>
        <v>OK</v>
      </c>
      <c r="R52"/>
      <c r="S52" s="2" t="str">
        <f>IF(ROUND(S27,0)&lt;=ROUND(S26,0),"OK","ERROR")</f>
        <v>OK</v>
      </c>
      <c r="T52" s="2" t="str">
        <f>IF(ROUND(T27,0)&lt;=ROUND(T26,0),"OK","ERROR")</f>
        <v>OK</v>
      </c>
      <c r="U52" s="2" t="str">
        <f>IF(ROUND(U27,0)&lt;=ROUND(U26,0),"OK","ERROR")</f>
        <v>OK</v>
      </c>
      <c r="V52"/>
      <c r="W52"/>
    </row>
    <row r="53" spans="2:23" x14ac:dyDescent="0.2">
      <c r="B53"/>
      <c r="C53"/>
      <c r="D53"/>
      <c r="E53"/>
      <c r="F53"/>
      <c r="G53"/>
      <c r="H53"/>
      <c r="I53"/>
      <c r="J53"/>
      <c r="K53"/>
      <c r="L53"/>
      <c r="M53"/>
      <c r="N53"/>
      <c r="O53"/>
      <c r="P53"/>
      <c r="Q53"/>
      <c r="R53"/>
      <c r="S53"/>
      <c r="T53"/>
      <c r="U53"/>
      <c r="V53"/>
      <c r="W53"/>
    </row>
    <row r="54" spans="2:23" x14ac:dyDescent="0.2">
      <c r="B54" s="4" t="s">
        <v>0</v>
      </c>
      <c r="C54" s="3"/>
      <c r="D54" s="2" t="str">
        <f>IF(ROUND(D33,0)&lt;=ROUND(D32,0),"OK","ERROR")</f>
        <v>OK</v>
      </c>
      <c r="E54" s="2" t="str">
        <f>IF(ROUND(E33,0)&gt;=ROUND(E32,0),"OK","ERROR")</f>
        <v>OK</v>
      </c>
      <c r="F54" s="2" t="str">
        <f t="shared" ref="F54:K54" si="11">IF(ROUND(F33,0)&lt;=ROUND(F32,0),"OK","ERROR")</f>
        <v>OK</v>
      </c>
      <c r="G54" s="2" t="str">
        <f t="shared" si="11"/>
        <v>OK</v>
      </c>
      <c r="H54" s="2" t="str">
        <f t="shared" si="11"/>
        <v>OK</v>
      </c>
      <c r="I54" s="2" t="str">
        <f t="shared" si="11"/>
        <v>OK</v>
      </c>
      <c r="J54" s="2" t="str">
        <f t="shared" si="11"/>
        <v>OK</v>
      </c>
      <c r="K54" s="2" t="str">
        <f t="shared" si="11"/>
        <v>OK</v>
      </c>
      <c r="L54"/>
      <c r="M54"/>
      <c r="N54"/>
      <c r="O54"/>
      <c r="P54"/>
      <c r="Q54" s="2" t="str">
        <f>IF(ROUND(Q33,0)&lt;=ROUND(Q32,0),"OK","ERROR")</f>
        <v>OK</v>
      </c>
      <c r="R54"/>
      <c r="S54" s="2" t="str">
        <f>IF(ROUND(S33,0)&lt;=ROUND(S32,0),"OK","ERROR")</f>
        <v>OK</v>
      </c>
      <c r="T54" s="2" t="str">
        <f>IF(ROUND(T33,0)&lt;=ROUND(T32,0),"OK","ERROR")</f>
        <v>OK</v>
      </c>
      <c r="U54" s="2" t="str">
        <f>IF(ROUND(U33,0)&lt;=ROUND(U32,0),"OK","ERROR")</f>
        <v>OK</v>
      </c>
      <c r="V54"/>
      <c r="W54"/>
    </row>
    <row r="55" spans="2:23" x14ac:dyDescent="0.2">
      <c r="V55"/>
      <c r="W55"/>
    </row>
  </sheetData>
  <mergeCells count="1">
    <mergeCell ref="U8:U12"/>
  </mergeCells>
  <conditionalFormatting sqref="D25">
    <cfRule type="cellIs" dxfId="9" priority="1" stopIfTrue="1" operator="equal">
      <formula>$D$49="ERROR"</formula>
    </cfRule>
  </conditionalFormatting>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rowBreaks count="1" manualBreakCount="1">
    <brk id="36" max="16383" man="1"/>
  </rowBreaks>
  <colBreaks count="1" manualBreakCount="1">
    <brk id="11" max="34"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tabColor rgb="FFFF0000"/>
  </sheetPr>
  <dimension ref="A1:AF55"/>
  <sheetViews>
    <sheetView workbookViewId="0"/>
  </sheetViews>
  <sheetFormatPr defaultColWidth="11.42578125" defaultRowHeight="12.75" x14ac:dyDescent="0.2"/>
  <cols>
    <col min="1" max="1" width="8.42578125" style="1" customWidth="1"/>
    <col min="2" max="2" width="39.42578125" style="1" customWidth="1"/>
    <col min="3" max="3" width="4.5703125" style="1" customWidth="1"/>
    <col min="4" max="6" width="20.42578125" style="1" customWidth="1"/>
    <col min="7" max="7" width="15.5703125" style="1" customWidth="1"/>
    <col min="8" max="8" width="16.42578125" style="1" customWidth="1"/>
    <col min="9" max="9" width="15.5703125" style="1" customWidth="1"/>
    <col min="10" max="10" width="17.5703125" style="1" customWidth="1"/>
    <col min="11" max="11" width="24.5703125" style="1" customWidth="1"/>
    <col min="12" max="16" width="17.5703125" style="1" customWidth="1"/>
    <col min="17" max="20" width="20.42578125" style="1" customWidth="1"/>
    <col min="21" max="21" width="24.5703125" style="1" customWidth="1"/>
    <col min="22" max="22" width="4.5703125" style="1" customWidth="1"/>
    <col min="23" max="25" width="11.42578125" style="1" customWidth="1"/>
    <col min="26" max="26" width="21.5703125" style="1" customWidth="1"/>
    <col min="27" max="30" width="11.42578125" style="1" customWidth="1"/>
    <col min="31" max="31" width="21.5703125" style="1" customWidth="1"/>
    <col min="32" max="16384" width="11.42578125" style="1"/>
  </cols>
  <sheetData>
    <row r="1" spans="1:31" ht="25.35" customHeight="1" x14ac:dyDescent="0.25">
      <c r="A1" s="9"/>
      <c r="B1" s="9"/>
      <c r="C1" s="9"/>
      <c r="E1" s="78" t="s">
        <v>101</v>
      </c>
      <c r="G1" s="41"/>
      <c r="H1" s="41"/>
      <c r="I1" s="41"/>
      <c r="J1" s="101" t="s">
        <v>100</v>
      </c>
      <c r="K1" s="105" t="s">
        <v>108</v>
      </c>
      <c r="L1" s="41"/>
      <c r="M1" s="78" t="s">
        <v>101</v>
      </c>
      <c r="N1" s="41"/>
      <c r="O1" s="41"/>
      <c r="P1" s="41"/>
      <c r="Q1" s="41"/>
      <c r="R1" s="41"/>
      <c r="S1" s="41"/>
      <c r="T1" s="101" t="s">
        <v>100</v>
      </c>
      <c r="U1" s="105" t="str">
        <f>K1</f>
        <v>P_CRSABIS_04</v>
      </c>
      <c r="V1" s="41"/>
    </row>
    <row r="2" spans="1:31" ht="25.35" customHeight="1" x14ac:dyDescent="0.25">
      <c r="A2" s="9"/>
      <c r="B2" s="41"/>
      <c r="C2" s="9"/>
      <c r="E2" s="104" t="s">
        <v>99</v>
      </c>
      <c r="G2" s="41"/>
      <c r="H2" s="41"/>
      <c r="I2"/>
      <c r="J2" s="101" t="s">
        <v>98</v>
      </c>
      <c r="K2" s="103" t="s">
        <v>119</v>
      </c>
      <c r="L2" s="41"/>
      <c r="M2" s="104" t="s">
        <v>99</v>
      </c>
      <c r="N2" s="9"/>
      <c r="O2" s="41"/>
      <c r="P2" s="41"/>
      <c r="Q2" s="41"/>
      <c r="R2" s="41"/>
      <c r="S2" s="41"/>
      <c r="T2" s="101" t="s">
        <v>98</v>
      </c>
      <c r="U2" s="103" t="str">
        <f>K2</f>
        <v>XXXXXX</v>
      </c>
      <c r="V2" s="41"/>
    </row>
    <row r="3" spans="1:31" ht="25.35" customHeight="1" x14ac:dyDescent="0.25">
      <c r="A3" s="9"/>
      <c r="B3" s="41"/>
      <c r="C3" s="9"/>
      <c r="E3" s="102" t="s">
        <v>97</v>
      </c>
      <c r="G3" s="41"/>
      <c r="I3"/>
      <c r="J3" s="101" t="s">
        <v>96</v>
      </c>
      <c r="K3" s="100" t="s">
        <v>121</v>
      </c>
      <c r="L3" s="41"/>
      <c r="M3" s="102" t="s">
        <v>97</v>
      </c>
      <c r="N3" s="9"/>
      <c r="O3" s="41"/>
      <c r="P3" s="41"/>
      <c r="Q3" s="41"/>
      <c r="R3" s="41"/>
      <c r="S3" s="41"/>
      <c r="T3" s="101" t="s">
        <v>96</v>
      </c>
      <c r="U3" s="100" t="str">
        <f>K3</f>
        <v>DD.MM.YYYY</v>
      </c>
      <c r="V3" s="41"/>
    </row>
    <row r="4" spans="1:31" ht="25.35" customHeight="1" x14ac:dyDescent="0.25">
      <c r="A4" s="9"/>
      <c r="B4" s="41"/>
      <c r="C4" s="9"/>
      <c r="E4" s="97" t="s">
        <v>107</v>
      </c>
      <c r="H4" s="41"/>
      <c r="I4"/>
      <c r="J4" s="99"/>
      <c r="K4" s="98"/>
      <c r="L4" s="41"/>
      <c r="M4" s="97" t="s">
        <v>107</v>
      </c>
      <c r="N4" s="41"/>
      <c r="O4" s="41"/>
      <c r="P4" s="41"/>
      <c r="Q4" s="41"/>
      <c r="R4" s="41"/>
      <c r="S4" s="41"/>
      <c r="T4" s="41"/>
      <c r="U4" s="41"/>
      <c r="V4" s="41"/>
    </row>
    <row r="5" spans="1:31" ht="25.35" customHeight="1" x14ac:dyDescent="0.2">
      <c r="A5" s="9"/>
      <c r="B5" s="41"/>
      <c r="C5" s="9"/>
      <c r="E5" s="1" t="s">
        <v>94</v>
      </c>
      <c r="F5" s="41"/>
      <c r="G5" s="41"/>
      <c r="H5" s="41"/>
      <c r="I5" s="41"/>
      <c r="J5" s="41"/>
      <c r="K5" s="41"/>
      <c r="L5" s="41"/>
      <c r="M5" s="1" t="s">
        <v>94</v>
      </c>
      <c r="N5" s="41"/>
      <c r="O5" s="41"/>
      <c r="P5" s="41"/>
      <c r="Q5" s="41"/>
      <c r="R5" s="41"/>
      <c r="S5" s="41"/>
      <c r="T5" s="41"/>
      <c r="U5" s="41"/>
      <c r="V5" s="41"/>
    </row>
    <row r="6" spans="1:31" ht="25.35" customHeight="1" x14ac:dyDescent="0.2">
      <c r="A6" s="9"/>
      <c r="B6" s="41"/>
      <c r="C6" s="9"/>
      <c r="D6" s="9"/>
    </row>
    <row r="7" spans="1:31" ht="25.35" customHeight="1" x14ac:dyDescent="0.2">
      <c r="A7" s="12"/>
      <c r="B7" s="41"/>
      <c r="C7" s="12"/>
      <c r="D7" s="12"/>
      <c r="F7" s="41"/>
      <c r="G7" s="41"/>
      <c r="H7" s="41"/>
      <c r="I7" s="41"/>
      <c r="J7" s="60"/>
      <c r="K7" s="60"/>
      <c r="L7" s="41"/>
      <c r="N7" s="60"/>
      <c r="O7" s="41"/>
      <c r="P7" s="41"/>
      <c r="Q7" s="41"/>
      <c r="R7" s="41"/>
      <c r="S7" s="41"/>
      <c r="T7" s="41"/>
      <c r="U7" s="41"/>
      <c r="V7" s="60"/>
    </row>
    <row r="8" spans="1:31" ht="17.850000000000001" customHeight="1" x14ac:dyDescent="0.25">
      <c r="A8" s="96"/>
      <c r="B8" s="95"/>
      <c r="C8" s="88"/>
      <c r="D8" s="94" t="s">
        <v>93</v>
      </c>
      <c r="E8" s="94" t="s">
        <v>92</v>
      </c>
      <c r="F8" s="93" t="s">
        <v>90</v>
      </c>
      <c r="G8" s="81" t="s">
        <v>91</v>
      </c>
      <c r="H8" s="82"/>
      <c r="I8" s="82"/>
      <c r="J8" s="92"/>
      <c r="K8" s="80" t="s">
        <v>90</v>
      </c>
      <c r="L8" s="82" t="s">
        <v>89</v>
      </c>
      <c r="M8" s="91"/>
      <c r="N8" s="91"/>
      <c r="O8" s="91"/>
      <c r="P8" s="80"/>
      <c r="Q8" s="90" t="s">
        <v>88</v>
      </c>
      <c r="R8" s="90" t="s">
        <v>87</v>
      </c>
      <c r="S8" s="90" t="s">
        <v>86</v>
      </c>
      <c r="T8" s="89" t="s">
        <v>85</v>
      </c>
      <c r="U8" s="1676" t="s">
        <v>84</v>
      </c>
      <c r="V8" s="88"/>
      <c r="W8" s="71"/>
      <c r="X8" s="71"/>
      <c r="Y8" s="9"/>
      <c r="Z8" s="9"/>
    </row>
    <row r="9" spans="1:31" ht="17.850000000000001" customHeight="1" x14ac:dyDescent="0.25">
      <c r="A9" s="79"/>
      <c r="B9" s="78"/>
      <c r="C9" s="62"/>
      <c r="D9" s="77" t="s">
        <v>83</v>
      </c>
      <c r="E9" s="77" t="s">
        <v>82</v>
      </c>
      <c r="F9" s="70" t="s">
        <v>80</v>
      </c>
      <c r="G9" s="85" t="s">
        <v>81</v>
      </c>
      <c r="H9" s="87"/>
      <c r="I9" s="87"/>
      <c r="J9" s="66"/>
      <c r="K9" s="66" t="s">
        <v>80</v>
      </c>
      <c r="L9" s="86"/>
      <c r="M9" s="86"/>
      <c r="N9" s="86"/>
      <c r="O9" s="75"/>
      <c r="P9" s="72"/>
      <c r="Q9" s="63" t="s">
        <v>79</v>
      </c>
      <c r="R9" s="63" t="s">
        <v>78</v>
      </c>
      <c r="S9" s="63" t="s">
        <v>77</v>
      </c>
      <c r="T9" s="77" t="s">
        <v>76</v>
      </c>
      <c r="U9" s="1677"/>
      <c r="V9" s="62"/>
      <c r="W9" s="71"/>
      <c r="X9" s="71"/>
      <c r="Y9" s="9"/>
      <c r="Z9" s="9"/>
    </row>
    <row r="10" spans="1:31" ht="17.850000000000001" customHeight="1" x14ac:dyDescent="0.25">
      <c r="A10" s="79"/>
      <c r="B10" s="78"/>
      <c r="C10" s="62"/>
      <c r="D10" s="77" t="s">
        <v>75</v>
      </c>
      <c r="E10" s="77" t="s">
        <v>74</v>
      </c>
      <c r="F10" s="70" t="s">
        <v>73</v>
      </c>
      <c r="G10" s="85"/>
      <c r="H10" s="84"/>
      <c r="I10" s="84"/>
      <c r="J10" s="83"/>
      <c r="K10" s="66" t="s">
        <v>72</v>
      </c>
      <c r="L10" s="82" t="s">
        <v>71</v>
      </c>
      <c r="M10" s="80"/>
      <c r="N10" s="66" t="s">
        <v>70</v>
      </c>
      <c r="O10" s="81" t="s">
        <v>69</v>
      </c>
      <c r="P10" s="80"/>
      <c r="Q10" s="63" t="s">
        <v>68</v>
      </c>
      <c r="R10" s="63" t="s">
        <v>67</v>
      </c>
      <c r="S10" s="63" t="s">
        <v>66</v>
      </c>
      <c r="T10" s="63"/>
      <c r="U10" s="1677"/>
      <c r="V10" s="62"/>
      <c r="W10" s="71"/>
      <c r="X10" s="71"/>
      <c r="Y10" s="9"/>
      <c r="Z10" s="9"/>
    </row>
    <row r="11" spans="1:31" ht="17.850000000000001" customHeight="1" x14ac:dyDescent="0.25">
      <c r="A11" s="79"/>
      <c r="B11" s="78"/>
      <c r="C11" s="62"/>
      <c r="D11" s="77"/>
      <c r="E11" s="77" t="s">
        <v>65</v>
      </c>
      <c r="F11" s="70" t="s">
        <v>64</v>
      </c>
      <c r="G11" s="76"/>
      <c r="H11" s="75"/>
      <c r="I11" s="74"/>
      <c r="J11" s="72"/>
      <c r="K11" s="66" t="s">
        <v>63</v>
      </c>
      <c r="L11" s="74" t="s">
        <v>62</v>
      </c>
      <c r="M11" s="72"/>
      <c r="N11" s="72" t="s">
        <v>61</v>
      </c>
      <c r="O11" s="73" t="s">
        <v>60</v>
      </c>
      <c r="P11" s="72"/>
      <c r="Q11" s="63" t="s">
        <v>59</v>
      </c>
      <c r="R11" s="63" t="s">
        <v>58</v>
      </c>
      <c r="T11" s="63"/>
      <c r="U11" s="1677"/>
      <c r="V11" s="62"/>
      <c r="W11" s="71"/>
      <c r="X11" s="71"/>
      <c r="Y11" s="9"/>
      <c r="Z11" s="9"/>
    </row>
    <row r="12" spans="1:31" ht="85.35" customHeight="1" x14ac:dyDescent="0.2">
      <c r="A12" s="9"/>
      <c r="B12" s="9"/>
      <c r="C12" s="62"/>
      <c r="D12" s="63"/>
      <c r="E12" s="63" t="s">
        <v>57</v>
      </c>
      <c r="F12" s="70" t="s">
        <v>56</v>
      </c>
      <c r="G12" s="69" t="s">
        <v>34</v>
      </c>
      <c r="H12" s="67">
        <v>0.2</v>
      </c>
      <c r="I12" s="68">
        <v>0.5</v>
      </c>
      <c r="J12" s="67">
        <v>1</v>
      </c>
      <c r="K12" s="66" t="s">
        <v>55</v>
      </c>
      <c r="L12" s="65" t="s">
        <v>54</v>
      </c>
      <c r="M12" s="64" t="s">
        <v>53</v>
      </c>
      <c r="N12" s="64" t="s">
        <v>52</v>
      </c>
      <c r="O12" s="63" t="s">
        <v>51</v>
      </c>
      <c r="P12" s="63" t="s">
        <v>50</v>
      </c>
      <c r="Q12" s="63" t="s">
        <v>49</v>
      </c>
      <c r="R12" s="63" t="s">
        <v>48</v>
      </c>
      <c r="S12" s="63"/>
      <c r="T12" s="63"/>
      <c r="U12" s="1677"/>
      <c r="V12" s="62"/>
      <c r="W12" s="61"/>
      <c r="X12" s="61"/>
      <c r="Y12" s="61"/>
      <c r="Z12" s="61"/>
    </row>
    <row r="13" spans="1:31" ht="25.35" customHeight="1" x14ac:dyDescent="0.2">
      <c r="A13" s="41"/>
      <c r="B13" s="60"/>
      <c r="C13" s="58"/>
      <c r="D13" s="59" t="s">
        <v>22</v>
      </c>
      <c r="E13" s="59" t="s">
        <v>21</v>
      </c>
      <c r="F13" s="59" t="s">
        <v>20</v>
      </c>
      <c r="G13" s="59" t="s">
        <v>19</v>
      </c>
      <c r="H13" s="59" t="s">
        <v>18</v>
      </c>
      <c r="I13" s="59" t="s">
        <v>17</v>
      </c>
      <c r="J13" s="59" t="s">
        <v>16</v>
      </c>
      <c r="K13" s="59" t="s">
        <v>15</v>
      </c>
      <c r="L13" s="59" t="s">
        <v>14</v>
      </c>
      <c r="M13" s="59" t="s">
        <v>13</v>
      </c>
      <c r="N13" s="59" t="s">
        <v>12</v>
      </c>
      <c r="O13" s="59" t="s">
        <v>11</v>
      </c>
      <c r="P13" s="59" t="s">
        <v>10</v>
      </c>
      <c r="Q13" s="59" t="s">
        <v>9</v>
      </c>
      <c r="R13" s="59" t="s">
        <v>8</v>
      </c>
      <c r="S13" s="59" t="s">
        <v>7</v>
      </c>
      <c r="T13" s="59" t="s">
        <v>6</v>
      </c>
      <c r="U13" s="59" t="s">
        <v>5</v>
      </c>
      <c r="V13" s="58"/>
      <c r="X13" s="9" t="s">
        <v>47</v>
      </c>
      <c r="Y13" s="9" t="s">
        <v>46</v>
      </c>
      <c r="Z13" s="9" t="s">
        <v>45</v>
      </c>
      <c r="AA13" s="9" t="s">
        <v>44</v>
      </c>
      <c r="AB13" s="9" t="s">
        <v>43</v>
      </c>
      <c r="AC13" s="9" t="s">
        <v>42</v>
      </c>
      <c r="AD13" s="9" t="s">
        <v>41</v>
      </c>
      <c r="AE13" s="9" t="s">
        <v>40</v>
      </c>
    </row>
    <row r="14" spans="1:31" ht="25.35" customHeight="1" thickBot="1" x14ac:dyDescent="0.25">
      <c r="A14" s="57"/>
      <c r="B14" s="56" t="s">
        <v>39</v>
      </c>
      <c r="C14" s="31">
        <v>1</v>
      </c>
      <c r="D14" s="32">
        <f>SUM(D19:D21,D23:D24,D26,D28,D32,D34)</f>
        <v>0</v>
      </c>
      <c r="E14" s="32">
        <f>SUM(E19:E21,E23:E24,E26,E28,E32,E34)</f>
        <v>0</v>
      </c>
      <c r="F14" s="32">
        <f>D14+E14</f>
        <v>0</v>
      </c>
      <c r="G14" s="32">
        <f>SUM(G19:G21,G23:G24,G26,G28,G32,G34)</f>
        <v>0</v>
      </c>
      <c r="H14" s="32">
        <f>SUM(H19:H21,H23:H24,H26,H28,H32,H34)</f>
        <v>0</v>
      </c>
      <c r="I14" s="32">
        <f>SUM(I19:I21,I23:I24,I26,I28,I32,I34)</f>
        <v>0</v>
      </c>
      <c r="J14" s="32">
        <f>SUM(J19:J21,J23:J24,J26,J28,J32,J34)</f>
        <v>0</v>
      </c>
      <c r="K14" s="55">
        <f>F14-G14-0.8*H14-0.5*I14</f>
        <v>0</v>
      </c>
      <c r="L14" s="54"/>
      <c r="M14" s="33"/>
      <c r="N14" s="37"/>
      <c r="O14" s="32">
        <f>(L14+M14+N14)*-1</f>
        <v>0</v>
      </c>
      <c r="P14" s="33"/>
      <c r="Q14" s="32">
        <f>SUM(Q19:Q21,Q23:Q24,Q26,Q28,Q32,Q34)</f>
        <v>0</v>
      </c>
      <c r="R14" s="33"/>
      <c r="S14" s="32">
        <f>SUM(S19:S21,S23:S24,S26,S28,S32,S34)</f>
        <v>0</v>
      </c>
      <c r="T14" s="32">
        <f>SUM(T19:T21,T23:T24,T26,T28,T32,T34)</f>
        <v>0</v>
      </c>
      <c r="U14" s="32">
        <f>T14*0.08</f>
        <v>0</v>
      </c>
      <c r="V14" s="31">
        <v>1</v>
      </c>
      <c r="W14" s="23"/>
      <c r="X14" s="53" t="str">
        <f>IF(D14&gt;=0,"OK","ERROR")</f>
        <v>OK</v>
      </c>
      <c r="Y14" s="53" t="str">
        <f>IF(E14&lt;=0,"OK","ERROR")</f>
        <v>OK</v>
      </c>
      <c r="Z14" s="53" t="str">
        <f>IF(MIN(F14:N14)&gt;=0,"OK","ERROR")</f>
        <v>OK</v>
      </c>
      <c r="AA14" s="53" t="str">
        <f>IF(O14&lt;=0,"OK","ERROR")</f>
        <v>OK</v>
      </c>
      <c r="AB14" s="53" t="str">
        <f>IF(P14&gt;=0,"OK","ERROR")</f>
        <v>OK</v>
      </c>
      <c r="AC14" s="53" t="str">
        <f>IF(Q14&gt;=0,"OK","ERROR")</f>
        <v>OK</v>
      </c>
      <c r="AD14" s="53" t="str">
        <f>IF(R14&lt;=0,"OK","ERROR")</f>
        <v>OK</v>
      </c>
      <c r="AE14" s="53" t="str">
        <f>IF(MIN(S14:U14)&gt;=0,"OK","ERROR")</f>
        <v>OK</v>
      </c>
    </row>
    <row r="15" spans="1:31" ht="37.5" customHeight="1" thickTop="1" x14ac:dyDescent="0.2">
      <c r="A15" s="39"/>
      <c r="B15" s="47" t="s">
        <v>38</v>
      </c>
      <c r="C15" s="31"/>
      <c r="D15" s="46"/>
      <c r="E15" s="46"/>
      <c r="F15" s="46"/>
      <c r="G15" s="46"/>
      <c r="H15" s="46"/>
      <c r="I15" s="46"/>
      <c r="J15" s="46"/>
      <c r="K15" s="46"/>
      <c r="L15" s="46"/>
      <c r="M15" s="46"/>
      <c r="N15" s="46"/>
      <c r="O15" s="46"/>
      <c r="P15" s="46"/>
      <c r="Q15" s="46"/>
      <c r="R15" s="46"/>
      <c r="S15" s="46"/>
      <c r="T15" s="46"/>
      <c r="U15" s="46"/>
      <c r="V15" s="31"/>
      <c r="W15" s="45"/>
      <c r="X15" s="52"/>
      <c r="Y15" s="52"/>
      <c r="Z15" s="52"/>
      <c r="AA15" s="9"/>
      <c r="AB15" s="51"/>
      <c r="AC15" s="9"/>
      <c r="AD15" s="9"/>
      <c r="AE15" s="50"/>
    </row>
    <row r="16" spans="1:31" ht="25.35" customHeight="1" thickBot="1" x14ac:dyDescent="0.25">
      <c r="A16" s="39"/>
      <c r="B16" s="48" t="s">
        <v>37</v>
      </c>
      <c r="C16" s="31">
        <v>2</v>
      </c>
      <c r="D16" s="33"/>
      <c r="E16" s="33"/>
      <c r="F16" s="32">
        <f>D16+E16</f>
        <v>0</v>
      </c>
      <c r="G16" s="34"/>
      <c r="H16" s="34"/>
      <c r="I16" s="34"/>
      <c r="J16" s="49"/>
      <c r="K16" s="36">
        <f>F16</f>
        <v>0</v>
      </c>
      <c r="L16" s="35"/>
      <c r="M16" s="34"/>
      <c r="N16" s="34"/>
      <c r="O16" s="34"/>
      <c r="P16" s="34"/>
      <c r="Q16" s="33"/>
      <c r="R16" s="34"/>
      <c r="S16" s="33"/>
      <c r="T16" s="33"/>
      <c r="U16" s="32">
        <f>T16*0.08</f>
        <v>0</v>
      </c>
      <c r="V16" s="31">
        <v>2</v>
      </c>
      <c r="W16" s="23"/>
      <c r="X16" s="2" t="str">
        <f>IF(D16&gt;=0,"OK","ERROR")</f>
        <v>OK</v>
      </c>
      <c r="Y16" s="2" t="str">
        <f>IF(E16&lt;=0,"OK","ERROR")</f>
        <v>OK</v>
      </c>
      <c r="Z16" s="2" t="str">
        <f>IF(MIN(F16:N16)&gt;=0,"OK","ERROR")</f>
        <v>OK</v>
      </c>
      <c r="AA16" s="9"/>
      <c r="AB16" s="9"/>
      <c r="AC16" s="2" t="str">
        <f>IF(Q16&gt;=0,"OK","ERROR")</f>
        <v>OK</v>
      </c>
      <c r="AD16" s="9"/>
      <c r="AE16" s="2" t="str">
        <f>IF(MIN(S16:U16)&gt;=0,"OK","ERROR")</f>
        <v>OK</v>
      </c>
    </row>
    <row r="17" spans="1:32" ht="25.35" customHeight="1" thickTop="1" thickBot="1" x14ac:dyDescent="0.25">
      <c r="A17" s="39"/>
      <c r="B17" s="48" t="s">
        <v>36</v>
      </c>
      <c r="C17" s="31">
        <v>3</v>
      </c>
      <c r="D17" s="33"/>
      <c r="E17" s="33"/>
      <c r="F17" s="32">
        <f>D17+E17</f>
        <v>0</v>
      </c>
      <c r="G17" s="33"/>
      <c r="H17" s="33"/>
      <c r="I17" s="33"/>
      <c r="J17" s="37"/>
      <c r="K17" s="36">
        <f>F17-G17-0.8*H17-0.5*I17</f>
        <v>0</v>
      </c>
      <c r="L17" s="35"/>
      <c r="M17" s="34"/>
      <c r="N17" s="34"/>
      <c r="O17" s="34"/>
      <c r="P17" s="34"/>
      <c r="Q17" s="33"/>
      <c r="R17" s="34"/>
      <c r="S17" s="33"/>
      <c r="T17" s="33"/>
      <c r="U17" s="32">
        <f>T17*0.08</f>
        <v>0</v>
      </c>
      <c r="V17" s="31">
        <v>3</v>
      </c>
      <c r="W17" s="23"/>
      <c r="X17" s="2" t="str">
        <f>IF(D17&gt;=0,"OK","ERROR")</f>
        <v>OK</v>
      </c>
      <c r="Y17" s="2" t="str">
        <f>IF(E17&lt;=0,"OK","ERROR")</f>
        <v>OK</v>
      </c>
      <c r="Z17" s="2" t="str">
        <f>IF(MIN(F17:N17)&gt;=0,"OK","ERROR")</f>
        <v>OK</v>
      </c>
      <c r="AA17" s="9"/>
      <c r="AB17" s="9"/>
      <c r="AC17" s="2" t="str">
        <f>IF(Q17&gt;=0,"OK","ERROR")</f>
        <v>OK</v>
      </c>
      <c r="AD17" s="9"/>
      <c r="AE17" s="2" t="str">
        <f>IF(MIN(S17:U17)&gt;=0,"OK","ERROR")</f>
        <v>OK</v>
      </c>
    </row>
    <row r="18" spans="1:32" ht="55.35" customHeight="1" thickTop="1" x14ac:dyDescent="0.2">
      <c r="A18" s="39"/>
      <c r="B18" s="47" t="s">
        <v>35</v>
      </c>
      <c r="C18" s="31"/>
      <c r="D18" s="46"/>
      <c r="E18" s="46"/>
      <c r="F18" s="46"/>
      <c r="G18" s="46"/>
      <c r="H18" s="46"/>
      <c r="I18" s="46"/>
      <c r="J18" s="46"/>
      <c r="K18" s="46"/>
      <c r="L18" s="46"/>
      <c r="M18" s="46"/>
      <c r="N18" s="46"/>
      <c r="O18" s="46"/>
      <c r="P18" s="46"/>
      <c r="Q18" s="46"/>
      <c r="R18" s="46"/>
      <c r="S18" s="46"/>
      <c r="T18" s="46"/>
      <c r="U18" s="46"/>
      <c r="V18" s="31"/>
      <c r="W18" s="45"/>
      <c r="X18" s="24"/>
      <c r="Y18" s="27"/>
      <c r="Z18" s="44"/>
      <c r="AA18" s="9"/>
      <c r="AB18" s="9"/>
      <c r="AC18" s="9"/>
      <c r="AD18" s="9"/>
      <c r="AE18" s="9"/>
      <c r="AF18" s="9"/>
    </row>
    <row r="19" spans="1:32" ht="25.35" customHeight="1" thickBot="1" x14ac:dyDescent="0.25">
      <c r="A19" s="39"/>
      <c r="B19" s="43" t="s">
        <v>34</v>
      </c>
      <c r="C19" s="31">
        <v>4</v>
      </c>
      <c r="D19" s="33"/>
      <c r="E19" s="33"/>
      <c r="F19" s="32">
        <f t="shared" ref="F19:F34" si="0">D19+E19</f>
        <v>0</v>
      </c>
      <c r="G19" s="33"/>
      <c r="H19" s="33"/>
      <c r="I19" s="33"/>
      <c r="J19" s="37"/>
      <c r="K19" s="36">
        <f t="shared" ref="K19:K34" si="1">F19-G19-0.8*H19-0.5*I19</f>
        <v>0</v>
      </c>
      <c r="L19" s="35"/>
      <c r="M19" s="34"/>
      <c r="N19" s="34"/>
      <c r="O19" s="34"/>
      <c r="P19" s="34"/>
      <c r="Q19" s="33"/>
      <c r="R19" s="34"/>
      <c r="S19" s="33"/>
      <c r="T19" s="34"/>
      <c r="U19" s="34"/>
      <c r="V19" s="31">
        <v>4</v>
      </c>
      <c r="W19" s="23"/>
      <c r="X19" s="2" t="str">
        <f t="shared" ref="X19:X34" si="2">IF(D19&gt;=0,"OK","ERROR")</f>
        <v>OK</v>
      </c>
      <c r="Y19" s="2" t="str">
        <f t="shared" ref="Y19:Y34" si="3">IF(E19&lt;=0,"OK","ERROR")</f>
        <v>OK</v>
      </c>
      <c r="Z19" s="2" t="str">
        <f t="shared" ref="Z19:Z34" si="4">IF(MIN(F19:N19)&gt;=0,"OK","ERROR")</f>
        <v>OK</v>
      </c>
      <c r="AA19" s="9"/>
      <c r="AB19" s="9"/>
      <c r="AC19" s="2" t="str">
        <f t="shared" ref="AC19:AC34" si="5">IF(Q19&gt;=0,"OK","ERROR")</f>
        <v>OK</v>
      </c>
      <c r="AD19" s="9"/>
      <c r="AE19" s="2" t="str">
        <f t="shared" ref="AE19:AE34" si="6">IF(MIN(S19:U19)&gt;=0,"OK","ERROR")</f>
        <v>OK</v>
      </c>
    </row>
    <row r="20" spans="1:32" ht="25.35" customHeight="1" thickTop="1" thickBot="1" x14ac:dyDescent="0.25">
      <c r="A20" s="39"/>
      <c r="B20" s="38">
        <v>0.1</v>
      </c>
      <c r="C20" s="31">
        <v>19</v>
      </c>
      <c r="D20" s="33"/>
      <c r="E20" s="33"/>
      <c r="F20" s="32">
        <f t="shared" si="0"/>
        <v>0</v>
      </c>
      <c r="G20" s="33"/>
      <c r="H20" s="33"/>
      <c r="I20" s="33"/>
      <c r="J20" s="37"/>
      <c r="K20" s="36">
        <f t="shared" si="1"/>
        <v>0</v>
      </c>
      <c r="L20" s="35"/>
      <c r="M20" s="34"/>
      <c r="N20" s="34"/>
      <c r="O20" s="34"/>
      <c r="P20" s="34"/>
      <c r="Q20" s="33"/>
      <c r="R20" s="34"/>
      <c r="S20" s="33"/>
      <c r="T20" s="32">
        <f>S20*0.1</f>
        <v>0</v>
      </c>
      <c r="U20" s="32">
        <f t="shared" ref="U20:U34" si="7">T20*0.08</f>
        <v>0</v>
      </c>
      <c r="V20" s="31">
        <v>19</v>
      </c>
      <c r="W20" s="23"/>
      <c r="X20" s="2" t="str">
        <f t="shared" si="2"/>
        <v>OK</v>
      </c>
      <c r="Y20" s="2" t="str">
        <f t="shared" si="3"/>
        <v>OK</v>
      </c>
      <c r="Z20" s="2" t="str">
        <f t="shared" si="4"/>
        <v>OK</v>
      </c>
      <c r="AA20" s="9"/>
      <c r="AB20" s="9"/>
      <c r="AC20" s="2" t="str">
        <f t="shared" si="5"/>
        <v>OK</v>
      </c>
      <c r="AD20" s="9"/>
      <c r="AE20" s="2" t="str">
        <f t="shared" si="6"/>
        <v>OK</v>
      </c>
    </row>
    <row r="21" spans="1:32" ht="25.35" customHeight="1" thickTop="1" thickBot="1" x14ac:dyDescent="0.25">
      <c r="A21" s="39"/>
      <c r="B21" s="38" t="s">
        <v>33</v>
      </c>
      <c r="C21" s="31">
        <v>5</v>
      </c>
      <c r="D21" s="33"/>
      <c r="E21" s="33"/>
      <c r="F21" s="32">
        <f t="shared" si="0"/>
        <v>0</v>
      </c>
      <c r="G21" s="33"/>
      <c r="H21" s="33"/>
      <c r="I21" s="33"/>
      <c r="J21" s="37"/>
      <c r="K21" s="36">
        <f t="shared" si="1"/>
        <v>0</v>
      </c>
      <c r="L21" s="35"/>
      <c r="M21" s="34"/>
      <c r="N21" s="34"/>
      <c r="O21" s="34"/>
      <c r="P21" s="34"/>
      <c r="Q21" s="33"/>
      <c r="R21" s="34"/>
      <c r="S21" s="33"/>
      <c r="T21" s="32">
        <f>S21*0.2</f>
        <v>0</v>
      </c>
      <c r="U21" s="32">
        <f t="shared" si="7"/>
        <v>0</v>
      </c>
      <c r="V21" s="31">
        <v>5</v>
      </c>
      <c r="W21" s="23"/>
      <c r="X21" s="2" t="str">
        <f t="shared" si="2"/>
        <v>OK</v>
      </c>
      <c r="Y21" s="2" t="str">
        <f t="shared" si="3"/>
        <v>OK</v>
      </c>
      <c r="Z21" s="2" t="str">
        <f t="shared" si="4"/>
        <v>OK</v>
      </c>
      <c r="AA21" s="9"/>
      <c r="AB21" s="9"/>
      <c r="AC21" s="2" t="str">
        <f t="shared" si="5"/>
        <v>OK</v>
      </c>
      <c r="AD21" s="9"/>
      <c r="AE21" s="2" t="str">
        <f t="shared" si="6"/>
        <v>OK</v>
      </c>
    </row>
    <row r="22" spans="1:32" ht="25.35" customHeight="1" thickTop="1" thickBot="1" x14ac:dyDescent="0.25">
      <c r="A22" s="42"/>
      <c r="B22" s="38" t="s">
        <v>29</v>
      </c>
      <c r="C22" s="31">
        <v>6</v>
      </c>
      <c r="D22" s="33"/>
      <c r="E22" s="33"/>
      <c r="F22" s="32">
        <f t="shared" si="0"/>
        <v>0</v>
      </c>
      <c r="G22" s="33"/>
      <c r="H22" s="33"/>
      <c r="I22" s="33"/>
      <c r="J22" s="37"/>
      <c r="K22" s="36">
        <f t="shared" si="1"/>
        <v>0</v>
      </c>
      <c r="L22" s="35"/>
      <c r="M22" s="34"/>
      <c r="N22" s="34"/>
      <c r="O22" s="34"/>
      <c r="P22" s="34"/>
      <c r="Q22" s="33"/>
      <c r="R22" s="34"/>
      <c r="S22" s="33"/>
      <c r="T22" s="32">
        <f>S22*0.2</f>
        <v>0</v>
      </c>
      <c r="U22" s="32">
        <f t="shared" si="7"/>
        <v>0</v>
      </c>
      <c r="V22" s="31">
        <v>6</v>
      </c>
      <c r="W22" s="23"/>
      <c r="X22" s="2" t="str">
        <f t="shared" si="2"/>
        <v>OK</v>
      </c>
      <c r="Y22" s="2" t="str">
        <f t="shared" si="3"/>
        <v>OK</v>
      </c>
      <c r="Z22" s="2" t="str">
        <f t="shared" si="4"/>
        <v>OK</v>
      </c>
      <c r="AA22" s="9"/>
      <c r="AB22" s="9"/>
      <c r="AC22" s="2" t="str">
        <f t="shared" si="5"/>
        <v>OK</v>
      </c>
      <c r="AD22" s="9"/>
      <c r="AE22" s="2" t="str">
        <f t="shared" si="6"/>
        <v>OK</v>
      </c>
    </row>
    <row r="23" spans="1:32" ht="20.85" customHeight="1" thickTop="1" thickBot="1" x14ac:dyDescent="0.25">
      <c r="A23" s="41"/>
      <c r="B23" s="38">
        <v>0.35</v>
      </c>
      <c r="C23" s="31">
        <v>7</v>
      </c>
      <c r="D23" s="33"/>
      <c r="E23" s="33"/>
      <c r="F23" s="32">
        <f t="shared" si="0"/>
        <v>0</v>
      </c>
      <c r="G23" s="33"/>
      <c r="H23" s="33"/>
      <c r="I23" s="33"/>
      <c r="J23" s="37"/>
      <c r="K23" s="36">
        <f t="shared" si="1"/>
        <v>0</v>
      </c>
      <c r="L23" s="35"/>
      <c r="M23" s="34"/>
      <c r="N23" s="34"/>
      <c r="O23" s="34"/>
      <c r="P23" s="34"/>
      <c r="Q23" s="33"/>
      <c r="R23" s="34"/>
      <c r="S23" s="33"/>
      <c r="T23" s="32">
        <f>S23*0.35</f>
        <v>0</v>
      </c>
      <c r="U23" s="32">
        <f t="shared" si="7"/>
        <v>0</v>
      </c>
      <c r="V23" s="31">
        <v>7</v>
      </c>
      <c r="W23" s="23"/>
      <c r="X23" s="2" t="str">
        <f t="shared" si="2"/>
        <v>OK</v>
      </c>
      <c r="Y23" s="2" t="str">
        <f t="shared" si="3"/>
        <v>OK</v>
      </c>
      <c r="Z23" s="2" t="str">
        <f t="shared" si="4"/>
        <v>OK</v>
      </c>
      <c r="AA23" s="9"/>
      <c r="AB23" s="9"/>
      <c r="AC23" s="2" t="str">
        <f t="shared" si="5"/>
        <v>OK</v>
      </c>
      <c r="AD23" s="9"/>
      <c r="AE23" s="2" t="str">
        <f t="shared" si="6"/>
        <v>OK</v>
      </c>
    </row>
    <row r="24" spans="1:32" ht="25.35" customHeight="1" thickTop="1" thickBot="1" x14ac:dyDescent="0.25">
      <c r="A24" s="39"/>
      <c r="B24" s="38" t="s">
        <v>32</v>
      </c>
      <c r="C24" s="31">
        <v>8</v>
      </c>
      <c r="D24" s="33"/>
      <c r="E24" s="33"/>
      <c r="F24" s="32">
        <f t="shared" si="0"/>
        <v>0</v>
      </c>
      <c r="G24" s="33"/>
      <c r="H24" s="33"/>
      <c r="I24" s="33"/>
      <c r="J24" s="37"/>
      <c r="K24" s="36">
        <f t="shared" si="1"/>
        <v>0</v>
      </c>
      <c r="L24" s="35"/>
      <c r="M24" s="34"/>
      <c r="N24" s="34"/>
      <c r="O24" s="34"/>
      <c r="P24" s="34"/>
      <c r="Q24" s="33"/>
      <c r="R24" s="34"/>
      <c r="S24" s="33"/>
      <c r="T24" s="32">
        <f>S24*0.5</f>
        <v>0</v>
      </c>
      <c r="U24" s="32">
        <f t="shared" si="7"/>
        <v>0</v>
      </c>
      <c r="V24" s="31">
        <v>8</v>
      </c>
      <c r="W24" s="23"/>
      <c r="X24" s="2" t="str">
        <f t="shared" si="2"/>
        <v>OK</v>
      </c>
      <c r="Y24" s="2" t="str">
        <f t="shared" si="3"/>
        <v>OK</v>
      </c>
      <c r="Z24" s="2" t="str">
        <f t="shared" si="4"/>
        <v>OK</v>
      </c>
      <c r="AA24" s="9"/>
      <c r="AB24" s="9"/>
      <c r="AC24" s="2" t="str">
        <f t="shared" si="5"/>
        <v>OK</v>
      </c>
      <c r="AD24" s="9"/>
      <c r="AE24" s="2" t="str">
        <f t="shared" si="6"/>
        <v>OK</v>
      </c>
    </row>
    <row r="25" spans="1:32" ht="25.35" customHeight="1" thickTop="1" thickBot="1" x14ac:dyDescent="0.25">
      <c r="A25" s="39"/>
      <c r="B25" s="38" t="s">
        <v>29</v>
      </c>
      <c r="C25" s="31">
        <v>9</v>
      </c>
      <c r="D25" s="33"/>
      <c r="E25" s="33"/>
      <c r="F25" s="32">
        <f t="shared" si="0"/>
        <v>0</v>
      </c>
      <c r="G25" s="33"/>
      <c r="H25" s="33"/>
      <c r="I25" s="33"/>
      <c r="J25" s="37"/>
      <c r="K25" s="36">
        <f t="shared" si="1"/>
        <v>0</v>
      </c>
      <c r="L25" s="35"/>
      <c r="M25" s="34"/>
      <c r="N25" s="34"/>
      <c r="O25" s="34"/>
      <c r="P25" s="34"/>
      <c r="Q25" s="33"/>
      <c r="R25" s="34"/>
      <c r="S25" s="33"/>
      <c r="T25" s="32">
        <f>S25*0.5</f>
        <v>0</v>
      </c>
      <c r="U25" s="32">
        <f t="shared" si="7"/>
        <v>0</v>
      </c>
      <c r="V25" s="31">
        <v>9</v>
      </c>
      <c r="W25" s="23"/>
      <c r="X25" s="2" t="str">
        <f t="shared" si="2"/>
        <v>OK</v>
      </c>
      <c r="Y25" s="2" t="str">
        <f t="shared" si="3"/>
        <v>OK</v>
      </c>
      <c r="Z25" s="2" t="str">
        <f t="shared" si="4"/>
        <v>OK</v>
      </c>
      <c r="AA25" s="9"/>
      <c r="AB25" s="9"/>
      <c r="AC25" s="2" t="str">
        <f t="shared" si="5"/>
        <v>OK</v>
      </c>
      <c r="AD25" s="9"/>
      <c r="AE25" s="2" t="str">
        <f t="shared" si="6"/>
        <v>OK</v>
      </c>
    </row>
    <row r="26" spans="1:32" ht="25.35" customHeight="1" thickTop="1" thickBot="1" x14ac:dyDescent="0.25">
      <c r="A26" s="39"/>
      <c r="B26" s="38" t="s">
        <v>31</v>
      </c>
      <c r="C26" s="31">
        <v>11</v>
      </c>
      <c r="D26" s="33"/>
      <c r="E26" s="33"/>
      <c r="F26" s="32">
        <f t="shared" si="0"/>
        <v>0</v>
      </c>
      <c r="G26" s="33"/>
      <c r="H26" s="33"/>
      <c r="I26" s="33"/>
      <c r="J26" s="37"/>
      <c r="K26" s="36">
        <f t="shared" si="1"/>
        <v>0</v>
      </c>
      <c r="L26" s="35"/>
      <c r="M26" s="34"/>
      <c r="N26" s="34"/>
      <c r="O26" s="34"/>
      <c r="P26" s="34"/>
      <c r="Q26" s="33"/>
      <c r="R26" s="34"/>
      <c r="S26" s="33"/>
      <c r="T26" s="32">
        <f>S26*0.75</f>
        <v>0</v>
      </c>
      <c r="U26" s="32">
        <f t="shared" si="7"/>
        <v>0</v>
      </c>
      <c r="V26" s="31">
        <v>11</v>
      </c>
      <c r="W26" s="23"/>
      <c r="X26" s="2" t="str">
        <f t="shared" si="2"/>
        <v>OK</v>
      </c>
      <c r="Y26" s="2" t="str">
        <f t="shared" si="3"/>
        <v>OK</v>
      </c>
      <c r="Z26" s="2" t="str">
        <f t="shared" si="4"/>
        <v>OK</v>
      </c>
      <c r="AA26" s="9"/>
      <c r="AB26" s="9"/>
      <c r="AC26" s="2" t="str">
        <f t="shared" si="5"/>
        <v>OK</v>
      </c>
      <c r="AD26" s="9"/>
      <c r="AE26" s="2" t="str">
        <f t="shared" si="6"/>
        <v>OK</v>
      </c>
    </row>
    <row r="27" spans="1:32" ht="25.35" customHeight="1" thickTop="1" thickBot="1" x14ac:dyDescent="0.25">
      <c r="A27" s="39"/>
      <c r="B27" s="40" t="s">
        <v>28</v>
      </c>
      <c r="C27" s="31">
        <v>20</v>
      </c>
      <c r="D27" s="33"/>
      <c r="E27" s="33"/>
      <c r="F27" s="32">
        <f t="shared" si="0"/>
        <v>0</v>
      </c>
      <c r="G27" s="33"/>
      <c r="H27" s="33"/>
      <c r="I27" s="33"/>
      <c r="J27" s="37"/>
      <c r="K27" s="36">
        <f t="shared" si="1"/>
        <v>0</v>
      </c>
      <c r="L27" s="35"/>
      <c r="M27" s="34"/>
      <c r="N27" s="34"/>
      <c r="O27" s="34"/>
      <c r="P27" s="34"/>
      <c r="Q27" s="33"/>
      <c r="R27" s="34"/>
      <c r="S27" s="33"/>
      <c r="T27" s="32">
        <f>S27*0.75</f>
        <v>0</v>
      </c>
      <c r="U27" s="32">
        <f t="shared" si="7"/>
        <v>0</v>
      </c>
      <c r="V27" s="31">
        <v>20</v>
      </c>
      <c r="W27" s="23"/>
      <c r="X27" s="2" t="str">
        <f t="shared" si="2"/>
        <v>OK</v>
      </c>
      <c r="Y27" s="2" t="str">
        <f t="shared" si="3"/>
        <v>OK</v>
      </c>
      <c r="Z27" s="2" t="str">
        <f t="shared" si="4"/>
        <v>OK</v>
      </c>
      <c r="AA27" s="9"/>
      <c r="AB27" s="9"/>
      <c r="AC27" s="2" t="str">
        <f t="shared" si="5"/>
        <v>OK</v>
      </c>
      <c r="AD27" s="9"/>
      <c r="AE27" s="2" t="str">
        <f t="shared" si="6"/>
        <v>OK</v>
      </c>
    </row>
    <row r="28" spans="1:32" ht="24.6" customHeight="1" thickTop="1" thickBot="1" x14ac:dyDescent="0.25">
      <c r="A28" s="39"/>
      <c r="B28" s="38" t="s">
        <v>30</v>
      </c>
      <c r="C28" s="31">
        <v>12</v>
      </c>
      <c r="D28" s="33"/>
      <c r="E28" s="33"/>
      <c r="F28" s="32">
        <f t="shared" si="0"/>
        <v>0</v>
      </c>
      <c r="G28" s="33"/>
      <c r="H28" s="33"/>
      <c r="I28" s="33"/>
      <c r="J28" s="37"/>
      <c r="K28" s="36">
        <f t="shared" si="1"/>
        <v>0</v>
      </c>
      <c r="L28" s="35"/>
      <c r="M28" s="34"/>
      <c r="N28" s="34"/>
      <c r="O28" s="34"/>
      <c r="P28" s="34"/>
      <c r="Q28" s="33"/>
      <c r="R28" s="34"/>
      <c r="S28" s="33"/>
      <c r="T28" s="32">
        <f>S28*1</f>
        <v>0</v>
      </c>
      <c r="U28" s="32">
        <f t="shared" si="7"/>
        <v>0</v>
      </c>
      <c r="V28" s="31">
        <v>12</v>
      </c>
      <c r="W28" s="23"/>
      <c r="X28" s="2" t="str">
        <f t="shared" si="2"/>
        <v>OK</v>
      </c>
      <c r="Y28" s="2" t="str">
        <f t="shared" si="3"/>
        <v>OK</v>
      </c>
      <c r="Z28" s="2" t="str">
        <f t="shared" si="4"/>
        <v>OK</v>
      </c>
      <c r="AA28" s="9"/>
      <c r="AB28" s="9"/>
      <c r="AC28" s="2" t="str">
        <f t="shared" si="5"/>
        <v>OK</v>
      </c>
      <c r="AD28" s="9"/>
      <c r="AE28" s="2" t="str">
        <f t="shared" si="6"/>
        <v>OK</v>
      </c>
    </row>
    <row r="29" spans="1:32" ht="24.6" customHeight="1" thickTop="1" thickBot="1" x14ac:dyDescent="0.25">
      <c r="A29" s="39"/>
      <c r="B29" s="38" t="s">
        <v>29</v>
      </c>
      <c r="C29" s="31">
        <v>13</v>
      </c>
      <c r="D29" s="33"/>
      <c r="E29" s="33"/>
      <c r="F29" s="32">
        <f t="shared" si="0"/>
        <v>0</v>
      </c>
      <c r="G29" s="33"/>
      <c r="H29" s="33"/>
      <c r="I29" s="33"/>
      <c r="J29" s="37"/>
      <c r="K29" s="36">
        <f t="shared" si="1"/>
        <v>0</v>
      </c>
      <c r="L29" s="35"/>
      <c r="M29" s="34"/>
      <c r="N29" s="34"/>
      <c r="O29" s="34"/>
      <c r="P29" s="34"/>
      <c r="Q29" s="33"/>
      <c r="R29" s="34"/>
      <c r="S29" s="33"/>
      <c r="T29" s="32">
        <f>S29*1</f>
        <v>0</v>
      </c>
      <c r="U29" s="32">
        <f t="shared" si="7"/>
        <v>0</v>
      </c>
      <c r="V29" s="31">
        <v>13</v>
      </c>
      <c r="W29" s="23"/>
      <c r="X29" s="2" t="str">
        <f t="shared" si="2"/>
        <v>OK</v>
      </c>
      <c r="Y29" s="2" t="str">
        <f t="shared" si="3"/>
        <v>OK</v>
      </c>
      <c r="Z29" s="2" t="str">
        <f t="shared" si="4"/>
        <v>OK</v>
      </c>
      <c r="AA29" s="9"/>
      <c r="AB29" s="9"/>
      <c r="AC29" s="2" t="str">
        <f t="shared" si="5"/>
        <v>OK</v>
      </c>
      <c r="AD29" s="9"/>
      <c r="AE29" s="2" t="str">
        <f t="shared" si="6"/>
        <v>OK</v>
      </c>
    </row>
    <row r="30" spans="1:32" ht="24.6" customHeight="1" thickTop="1" thickBot="1" x14ac:dyDescent="0.25">
      <c r="A30" s="39"/>
      <c r="B30" s="40" t="s">
        <v>28</v>
      </c>
      <c r="C30" s="31">
        <v>14</v>
      </c>
      <c r="D30" s="33"/>
      <c r="E30" s="33"/>
      <c r="F30" s="32">
        <f t="shared" si="0"/>
        <v>0</v>
      </c>
      <c r="G30" s="33"/>
      <c r="H30" s="33"/>
      <c r="I30" s="33"/>
      <c r="J30" s="37"/>
      <c r="K30" s="36">
        <f t="shared" si="1"/>
        <v>0</v>
      </c>
      <c r="L30" s="35"/>
      <c r="M30" s="34"/>
      <c r="N30" s="34"/>
      <c r="O30" s="34"/>
      <c r="P30" s="34"/>
      <c r="Q30" s="33"/>
      <c r="R30" s="34"/>
      <c r="S30" s="33"/>
      <c r="T30" s="32">
        <f>S30*1</f>
        <v>0</v>
      </c>
      <c r="U30" s="32">
        <f t="shared" si="7"/>
        <v>0</v>
      </c>
      <c r="V30" s="31">
        <v>14</v>
      </c>
      <c r="W30" s="23"/>
      <c r="X30" s="2" t="str">
        <f t="shared" si="2"/>
        <v>OK</v>
      </c>
      <c r="Y30" s="2" t="str">
        <f t="shared" si="3"/>
        <v>OK</v>
      </c>
      <c r="Z30" s="2" t="str">
        <f t="shared" si="4"/>
        <v>OK</v>
      </c>
      <c r="AA30" s="9"/>
      <c r="AB30" s="9"/>
      <c r="AC30" s="2" t="str">
        <f t="shared" si="5"/>
        <v>OK</v>
      </c>
      <c r="AD30" s="9"/>
      <c r="AE30" s="2" t="str">
        <f t="shared" si="6"/>
        <v>OK</v>
      </c>
    </row>
    <row r="31" spans="1:32" ht="24.6" customHeight="1" thickTop="1" thickBot="1" x14ac:dyDescent="0.25">
      <c r="A31" s="39"/>
      <c r="B31" s="38" t="s">
        <v>26</v>
      </c>
      <c r="C31" s="31">
        <v>15</v>
      </c>
      <c r="D31" s="33"/>
      <c r="E31" s="33"/>
      <c r="F31" s="32">
        <f t="shared" si="0"/>
        <v>0</v>
      </c>
      <c r="G31" s="33"/>
      <c r="H31" s="33"/>
      <c r="I31" s="33"/>
      <c r="J31" s="37"/>
      <c r="K31" s="36">
        <f t="shared" si="1"/>
        <v>0</v>
      </c>
      <c r="L31" s="35"/>
      <c r="M31" s="34"/>
      <c r="N31" s="34"/>
      <c r="O31" s="34"/>
      <c r="P31" s="34"/>
      <c r="Q31" s="33"/>
      <c r="R31" s="34"/>
      <c r="S31" s="33"/>
      <c r="T31" s="32">
        <f>S31*1</f>
        <v>0</v>
      </c>
      <c r="U31" s="32">
        <f t="shared" si="7"/>
        <v>0</v>
      </c>
      <c r="V31" s="31">
        <v>15</v>
      </c>
      <c r="W31" s="23"/>
      <c r="X31" s="2" t="str">
        <f t="shared" si="2"/>
        <v>OK</v>
      </c>
      <c r="Y31" s="2" t="str">
        <f t="shared" si="3"/>
        <v>OK</v>
      </c>
      <c r="Z31" s="2" t="str">
        <f t="shared" si="4"/>
        <v>OK</v>
      </c>
      <c r="AA31" s="9"/>
      <c r="AB31" s="9"/>
      <c r="AC31" s="2" t="str">
        <f t="shared" si="5"/>
        <v>OK</v>
      </c>
      <c r="AD31" s="9"/>
      <c r="AE31" s="2" t="str">
        <f t="shared" si="6"/>
        <v>OK</v>
      </c>
    </row>
    <row r="32" spans="1:32" ht="24.6" customHeight="1" thickTop="1" thickBot="1" x14ac:dyDescent="0.25">
      <c r="A32" s="39"/>
      <c r="B32" s="38" t="s">
        <v>27</v>
      </c>
      <c r="C32" s="31">
        <v>16</v>
      </c>
      <c r="D32" s="33"/>
      <c r="E32" s="33"/>
      <c r="F32" s="32">
        <f t="shared" si="0"/>
        <v>0</v>
      </c>
      <c r="G32" s="33"/>
      <c r="H32" s="33"/>
      <c r="I32" s="33"/>
      <c r="J32" s="37"/>
      <c r="K32" s="36">
        <f t="shared" si="1"/>
        <v>0</v>
      </c>
      <c r="L32" s="35"/>
      <c r="M32" s="34"/>
      <c r="N32" s="34"/>
      <c r="O32" s="34"/>
      <c r="P32" s="34"/>
      <c r="Q32" s="33"/>
      <c r="R32" s="34"/>
      <c r="S32" s="33"/>
      <c r="T32" s="32">
        <f>S32*1.5</f>
        <v>0</v>
      </c>
      <c r="U32" s="32">
        <f t="shared" si="7"/>
        <v>0</v>
      </c>
      <c r="V32" s="31">
        <v>16</v>
      </c>
      <c r="W32" s="23"/>
      <c r="X32" s="2" t="str">
        <f t="shared" si="2"/>
        <v>OK</v>
      </c>
      <c r="Y32" s="2" t="str">
        <f t="shared" si="3"/>
        <v>OK</v>
      </c>
      <c r="Z32" s="2" t="str">
        <f t="shared" si="4"/>
        <v>OK</v>
      </c>
      <c r="AA32" s="9"/>
      <c r="AB32" s="9"/>
      <c r="AC32" s="2" t="str">
        <f t="shared" si="5"/>
        <v>OK</v>
      </c>
      <c r="AD32" s="9"/>
      <c r="AE32" s="2" t="str">
        <f t="shared" si="6"/>
        <v>OK</v>
      </c>
    </row>
    <row r="33" spans="1:32" ht="24.6" customHeight="1" thickTop="1" thickBot="1" x14ac:dyDescent="0.25">
      <c r="A33" s="39"/>
      <c r="B33" s="38" t="s">
        <v>26</v>
      </c>
      <c r="C33" s="31">
        <v>17</v>
      </c>
      <c r="D33" s="33"/>
      <c r="E33" s="33"/>
      <c r="F33" s="32">
        <f t="shared" si="0"/>
        <v>0</v>
      </c>
      <c r="G33" s="33"/>
      <c r="H33" s="33"/>
      <c r="I33" s="33"/>
      <c r="J33" s="37"/>
      <c r="K33" s="36">
        <f t="shared" si="1"/>
        <v>0</v>
      </c>
      <c r="L33" s="35"/>
      <c r="M33" s="34"/>
      <c r="N33" s="34"/>
      <c r="O33" s="34"/>
      <c r="P33" s="34"/>
      <c r="Q33" s="33"/>
      <c r="R33" s="34"/>
      <c r="S33" s="33"/>
      <c r="T33" s="32">
        <f>S33*1.5</f>
        <v>0</v>
      </c>
      <c r="U33" s="32">
        <f t="shared" si="7"/>
        <v>0</v>
      </c>
      <c r="V33" s="31">
        <v>17</v>
      </c>
      <c r="W33" s="23"/>
      <c r="X33" s="2" t="str">
        <f t="shared" si="2"/>
        <v>OK</v>
      </c>
      <c r="Y33" s="2" t="str">
        <f t="shared" si="3"/>
        <v>OK</v>
      </c>
      <c r="Z33" s="2" t="str">
        <f t="shared" si="4"/>
        <v>OK</v>
      </c>
      <c r="AA33" s="9"/>
      <c r="AB33" s="9"/>
      <c r="AC33" s="2" t="str">
        <f t="shared" si="5"/>
        <v>OK</v>
      </c>
      <c r="AD33" s="9"/>
      <c r="AE33" s="2" t="str">
        <f t="shared" si="6"/>
        <v>OK</v>
      </c>
    </row>
    <row r="34" spans="1:32" ht="25.35" customHeight="1" thickTop="1" thickBot="1" x14ac:dyDescent="0.25">
      <c r="A34" s="39"/>
      <c r="B34" s="38">
        <v>3.5</v>
      </c>
      <c r="C34" s="31">
        <v>18</v>
      </c>
      <c r="D34" s="33"/>
      <c r="E34" s="33"/>
      <c r="F34" s="32">
        <f t="shared" si="0"/>
        <v>0</v>
      </c>
      <c r="G34" s="33"/>
      <c r="H34" s="33"/>
      <c r="I34" s="33"/>
      <c r="J34" s="37"/>
      <c r="K34" s="36">
        <f t="shared" si="1"/>
        <v>0</v>
      </c>
      <c r="L34" s="35"/>
      <c r="M34" s="34"/>
      <c r="N34" s="34"/>
      <c r="O34" s="34"/>
      <c r="P34" s="34"/>
      <c r="Q34" s="33"/>
      <c r="R34" s="34"/>
      <c r="S34" s="33"/>
      <c r="T34" s="32">
        <f>S34*3.5</f>
        <v>0</v>
      </c>
      <c r="U34" s="32">
        <f t="shared" si="7"/>
        <v>0</v>
      </c>
      <c r="V34" s="31">
        <v>18</v>
      </c>
      <c r="W34" s="23"/>
      <c r="X34" s="2" t="str">
        <f t="shared" si="2"/>
        <v>OK</v>
      </c>
      <c r="Y34" s="2" t="str">
        <f t="shared" si="3"/>
        <v>OK</v>
      </c>
      <c r="Z34" s="2" t="str">
        <f t="shared" si="4"/>
        <v>OK</v>
      </c>
      <c r="AA34" s="9"/>
      <c r="AB34" s="9"/>
      <c r="AC34" s="2" t="str">
        <f t="shared" si="5"/>
        <v>OK</v>
      </c>
      <c r="AD34" s="9"/>
      <c r="AE34" s="2" t="str">
        <f t="shared" si="6"/>
        <v>OK</v>
      </c>
    </row>
    <row r="35" spans="1:32" ht="7.5" customHeight="1" thickTop="1" x14ac:dyDescent="0.2">
      <c r="A35" s="30"/>
      <c r="B35" s="29"/>
      <c r="C35" s="12"/>
      <c r="D35" s="28"/>
      <c r="E35" s="28"/>
      <c r="F35" s="28"/>
      <c r="G35" s="28"/>
      <c r="H35" s="28"/>
      <c r="I35" s="28"/>
      <c r="J35" s="28"/>
      <c r="K35" s="28"/>
      <c r="L35" s="28"/>
      <c r="M35" s="28"/>
      <c r="N35" s="28"/>
      <c r="O35" s="28"/>
      <c r="P35" s="28"/>
      <c r="Q35" s="28"/>
      <c r="R35" s="28"/>
      <c r="S35" s="28"/>
      <c r="T35" s="28"/>
      <c r="U35" s="28"/>
      <c r="V35" s="12"/>
      <c r="W35" s="24"/>
      <c r="X35" s="24"/>
      <c r="Y35" s="27"/>
      <c r="Z35" s="27"/>
      <c r="AA35" s="9"/>
      <c r="AB35" s="9"/>
      <c r="AC35" s="9"/>
      <c r="AD35" s="9"/>
      <c r="AE35" s="9"/>
      <c r="AF35" s="9"/>
    </row>
    <row r="36" spans="1:32" ht="18.75" customHeight="1" x14ac:dyDescent="0.2">
      <c r="A36"/>
      <c r="B36" s="26" t="str">
        <f>"Version: "&amp;D43</f>
        <v>Version: 2.01.E0</v>
      </c>
      <c r="C36"/>
      <c r="D36"/>
      <c r="E36"/>
      <c r="F36"/>
      <c r="G36"/>
      <c r="H36"/>
      <c r="I36"/>
      <c r="J36"/>
      <c r="K36"/>
      <c r="L36"/>
      <c r="M36"/>
      <c r="N36"/>
      <c r="O36"/>
      <c r="P36"/>
      <c r="Q36"/>
      <c r="R36"/>
      <c r="S36"/>
      <c r="T36"/>
      <c r="U36"/>
      <c r="V36" s="25" t="s">
        <v>25</v>
      </c>
      <c r="W36" s="23"/>
      <c r="X36" s="23"/>
      <c r="Y36" s="24"/>
      <c r="Z36" s="24"/>
      <c r="AA36" s="9"/>
      <c r="AB36" s="9"/>
      <c r="AC36" s="9"/>
      <c r="AD36" s="9"/>
      <c r="AE36" s="9"/>
      <c r="AF36" s="9"/>
    </row>
    <row r="37" spans="1:32" ht="18.75" customHeight="1" x14ac:dyDescent="0.2">
      <c r="A37"/>
      <c r="B37"/>
      <c r="C37"/>
      <c r="D37"/>
      <c r="E37"/>
      <c r="F37"/>
      <c r="G37"/>
      <c r="H37"/>
      <c r="I37"/>
      <c r="J37"/>
      <c r="K37"/>
      <c r="L37"/>
      <c r="M37"/>
      <c r="N37"/>
      <c r="O37"/>
      <c r="P37"/>
      <c r="Q37"/>
      <c r="R37"/>
      <c r="S37"/>
      <c r="T37"/>
      <c r="U37"/>
      <c r="V37" s="9"/>
      <c r="W37" s="23"/>
      <c r="X37" s="23"/>
      <c r="Y37" s="23"/>
      <c r="Z37" s="23"/>
    </row>
    <row r="38" spans="1:32" ht="18.75" customHeight="1" x14ac:dyDescent="0.2">
      <c r="Q38" s="22"/>
      <c r="S38" s="22"/>
      <c r="V38" s="9"/>
    </row>
    <row r="39" spans="1:32" ht="18.75" customHeight="1" x14ac:dyDescent="0.2">
      <c r="Q39" s="22"/>
      <c r="S39" s="22"/>
    </row>
    <row r="40" spans="1:32" ht="18.75" customHeight="1" x14ac:dyDescent="0.2">
      <c r="B40" s="21"/>
      <c r="C40" s="20" t="s">
        <v>24</v>
      </c>
      <c r="D40" s="19" t="str">
        <f>U2</f>
        <v>XXXXXX</v>
      </c>
    </row>
    <row r="41" spans="1:32" ht="18.75" customHeight="1" x14ac:dyDescent="0.2">
      <c r="B41" s="15"/>
      <c r="D41" s="14" t="str">
        <f>U1</f>
        <v>P_CRSABIS_04</v>
      </c>
    </row>
    <row r="42" spans="1:32" ht="18.75" customHeight="1" x14ac:dyDescent="0.2">
      <c r="B42" s="15"/>
      <c r="D42" s="18" t="str">
        <f>U3</f>
        <v>DD.MM.YYYY</v>
      </c>
    </row>
    <row r="43" spans="1:32" ht="18.75" customHeight="1" x14ac:dyDescent="0.2">
      <c r="B43" s="17"/>
      <c r="D43" s="16" t="s">
        <v>23</v>
      </c>
    </row>
    <row r="44" spans="1:32" ht="18.75" customHeight="1" x14ac:dyDescent="0.2">
      <c r="B44" s="15"/>
      <c r="D44" s="14" t="str">
        <f>D13</f>
        <v>col. 01</v>
      </c>
    </row>
    <row r="45" spans="1:32" ht="18.75" customHeight="1" x14ac:dyDescent="0.2">
      <c r="B45" s="13"/>
      <c r="C45" s="12"/>
      <c r="D45" s="11">
        <f>COUNTIF(D49:U54,"ERROR")+COUNTIF(X14:AE35,"ERROR")</f>
        <v>0</v>
      </c>
    </row>
    <row r="46" spans="1:32" ht="20.85" customHeight="1" x14ac:dyDescent="0.2">
      <c r="B46" s="9"/>
      <c r="C46" s="8"/>
      <c r="D46" s="10"/>
    </row>
    <row r="47" spans="1:32" x14ac:dyDescent="0.2">
      <c r="B47" s="9"/>
      <c r="C47" s="8"/>
      <c r="D47" s="7"/>
    </row>
    <row r="48" spans="1:32" x14ac:dyDescent="0.2">
      <c r="D48" s="6" t="s">
        <v>22</v>
      </c>
      <c r="E48" s="6" t="s">
        <v>21</v>
      </c>
      <c r="F48" s="6" t="s">
        <v>20</v>
      </c>
      <c r="G48" s="6" t="s">
        <v>19</v>
      </c>
      <c r="H48" s="6" t="s">
        <v>18</v>
      </c>
      <c r="I48" s="6" t="s">
        <v>17</v>
      </c>
      <c r="J48" s="6" t="s">
        <v>16</v>
      </c>
      <c r="K48" s="6" t="s">
        <v>15</v>
      </c>
      <c r="L48" s="6" t="s">
        <v>14</v>
      </c>
      <c r="M48" s="6" t="s">
        <v>13</v>
      </c>
      <c r="N48" s="6" t="s">
        <v>12</v>
      </c>
      <c r="O48" s="6" t="s">
        <v>11</v>
      </c>
      <c r="P48" s="6" t="s">
        <v>10</v>
      </c>
      <c r="Q48" s="6" t="s">
        <v>9</v>
      </c>
      <c r="R48" s="6" t="s">
        <v>8</v>
      </c>
      <c r="S48" s="6" t="s">
        <v>7</v>
      </c>
      <c r="T48" s="6" t="s">
        <v>6</v>
      </c>
      <c r="U48" s="6" t="s">
        <v>5</v>
      </c>
      <c r="V48"/>
      <c r="W48"/>
    </row>
    <row r="49" spans="2:23" x14ac:dyDescent="0.2">
      <c r="B49" s="4" t="s">
        <v>4</v>
      </c>
      <c r="C49" s="5"/>
      <c r="D49" s="2" t="str">
        <f>IF(ROUND(D17+D16,0)=ROUND(D14,0),"OK","ERROR")</f>
        <v>OK</v>
      </c>
      <c r="E49" s="2" t="str">
        <f>IF(ROUND(E17+E16,0)=ROUND(E14,0),"OK","ERROR")</f>
        <v>OK</v>
      </c>
      <c r="F49" s="2" t="str">
        <f>IF(ROUND(F17+F16,0)=ROUND(F14,0),"OK","ERROR")</f>
        <v>OK</v>
      </c>
      <c r="G49" s="2" t="str">
        <f>IF(ROUND(G17,0)=ROUND(G14,0),"OK","ERROR")</f>
        <v>OK</v>
      </c>
      <c r="H49" s="2" t="str">
        <f>IF(ROUND(H17,0)=ROUND(H14,0),"OK","ERROR")</f>
        <v>OK</v>
      </c>
      <c r="I49" s="2" t="str">
        <f>IF(ROUND(I17,0)=ROUND(I14,0),"OK","ERROR")</f>
        <v>OK</v>
      </c>
      <c r="J49" s="2" t="str">
        <f>IF(ROUND(J17,0)=ROUND(J14,0),"OK","ERROR")</f>
        <v>OK</v>
      </c>
      <c r="K49" s="2" t="str">
        <f>IF(AND(ROUND(K16+K17,0)=ROUND(K14,0),ROUND(K14,0)=ROUND(K19+K20+K21+K23+K24+K26+K28+K32+K34,0)),"OK","ERROR")</f>
        <v>OK</v>
      </c>
      <c r="L49"/>
      <c r="M49"/>
      <c r="N49"/>
      <c r="O49"/>
      <c r="P49"/>
      <c r="Q49" s="2" t="str">
        <f>IF(AND(ROUND(Q17+Q16,0)=ROUND(Q14,0),ROUND(K14+O14+P14,0)=ROUND(Q14,0)),"OK","ERROR")</f>
        <v>OK</v>
      </c>
      <c r="R49"/>
      <c r="S49" s="2" t="str">
        <f>IF(AND(ROUND(S17+S16,0)=ROUND(S14,0),ROUND(Q14+R14,0)=ROUND(S14,0)),"OK","ERROR")</f>
        <v>OK</v>
      </c>
      <c r="T49" s="2" t="str">
        <f>IF(ROUND(T17+T16,0)=ROUND(T14,0),"OK","ERROR")</f>
        <v>OK</v>
      </c>
      <c r="U49" s="2" t="str">
        <f>IF(ROUND(U17+U16,0)=ROUND(U14,0),"OK","ERROR")</f>
        <v>OK</v>
      </c>
      <c r="V49"/>
      <c r="W49"/>
    </row>
    <row r="50" spans="2:23" x14ac:dyDescent="0.2">
      <c r="B50" s="4" t="s">
        <v>3</v>
      </c>
      <c r="C50" s="3"/>
      <c r="D50" s="2" t="str">
        <f>IF(ROUND(D22,0)&lt;=ROUND(D21,0),"OK","ERROR")</f>
        <v>OK</v>
      </c>
      <c r="E50" s="2" t="str">
        <f>IF(ROUND(E22,0)&gt;=ROUND(E21,0),"OK","ERROR")</f>
        <v>OK</v>
      </c>
      <c r="F50" s="2" t="str">
        <f t="shared" ref="F50:K50" si="8">IF(ROUND(F22,0)&lt;=ROUND(F21,0),"OK","ERROR")</f>
        <v>OK</v>
      </c>
      <c r="G50" s="2" t="str">
        <f t="shared" si="8"/>
        <v>OK</v>
      </c>
      <c r="H50" s="2" t="str">
        <f t="shared" si="8"/>
        <v>OK</v>
      </c>
      <c r="I50" s="2" t="str">
        <f t="shared" si="8"/>
        <v>OK</v>
      </c>
      <c r="J50" s="2" t="str">
        <f t="shared" si="8"/>
        <v>OK</v>
      </c>
      <c r="K50" s="2" t="str">
        <f t="shared" si="8"/>
        <v>OK</v>
      </c>
      <c r="L50"/>
      <c r="M50"/>
      <c r="N50"/>
      <c r="O50"/>
      <c r="P50"/>
      <c r="Q50" s="2" t="str">
        <f>IF(ROUND(Q22,0)&lt;=ROUND(Q21,0),"OK","ERROR")</f>
        <v>OK</v>
      </c>
      <c r="R50"/>
      <c r="S50" s="2" t="str">
        <f>IF(ROUND(S22,0)&lt;=ROUND(S21,0),"OK","ERROR")</f>
        <v>OK</v>
      </c>
      <c r="T50" s="2" t="str">
        <f>IF(ROUND(T22,0)&lt;=ROUND(T21,0),"OK","ERROR")</f>
        <v>OK</v>
      </c>
      <c r="U50" s="2" t="str">
        <f>IF(ROUND(U22,0)&lt;=ROUND(U21,0),"OK","ERROR")</f>
        <v>OK</v>
      </c>
      <c r="V50"/>
      <c r="W50"/>
    </row>
    <row r="51" spans="2:23" x14ac:dyDescent="0.2">
      <c r="B51" s="4" t="s">
        <v>2</v>
      </c>
      <c r="C51" s="3"/>
      <c r="D51" s="2" t="str">
        <f>IF(ROUND(D25,0)&lt;=ROUND(D24,0),"OK","ERROR")</f>
        <v>OK</v>
      </c>
      <c r="E51" s="2" t="str">
        <f>IF(ROUND(E25,0)&gt;=ROUND(E24,0),"OK","ERROR")</f>
        <v>OK</v>
      </c>
      <c r="F51" s="2" t="str">
        <f t="shared" ref="F51:K51" si="9">IF(ROUND(F25,0)&lt;=ROUND(F24,0),"OK","ERROR")</f>
        <v>OK</v>
      </c>
      <c r="G51" s="2" t="str">
        <f t="shared" si="9"/>
        <v>OK</v>
      </c>
      <c r="H51" s="2" t="str">
        <f t="shared" si="9"/>
        <v>OK</v>
      </c>
      <c r="I51" s="2" t="str">
        <f t="shared" si="9"/>
        <v>OK</v>
      </c>
      <c r="J51" s="2" t="str">
        <f t="shared" si="9"/>
        <v>OK</v>
      </c>
      <c r="K51" s="2" t="str">
        <f t="shared" si="9"/>
        <v>OK</v>
      </c>
      <c r="L51"/>
      <c r="M51"/>
      <c r="N51"/>
      <c r="O51"/>
      <c r="P51"/>
      <c r="Q51" s="2" t="str">
        <f>IF(ROUND(Q25,0)&lt;=ROUND(Q24,0),"OK","ERROR")</f>
        <v>OK</v>
      </c>
      <c r="R51"/>
      <c r="S51" s="2" t="str">
        <f>IF(ROUND(S25,0)&lt;=ROUND(S24,0),"OK","ERROR")</f>
        <v>OK</v>
      </c>
      <c r="T51" s="2" t="str">
        <f>IF(ROUND(T25,0)&lt;=ROUND(T24,0),"OK","ERROR")</f>
        <v>OK</v>
      </c>
      <c r="U51" s="2" t="str">
        <f>IF(ROUND(U25,0)&lt;=ROUND(U24,0),"OK","ERROR")</f>
        <v>OK</v>
      </c>
      <c r="V51"/>
      <c r="W51"/>
    </row>
    <row r="52" spans="2:23" x14ac:dyDescent="0.2">
      <c r="B52" s="4" t="s">
        <v>1</v>
      </c>
      <c r="C52" s="3"/>
      <c r="D52" s="2" t="str">
        <f>IF(ROUND(D27,0)&lt;=ROUND(D26,0),"OK","ERROR")</f>
        <v>OK</v>
      </c>
      <c r="E52" s="2" t="str">
        <f>IF(ROUND(E27,0)&gt;=ROUND(E26,0),"OK","ERROR")</f>
        <v>OK</v>
      </c>
      <c r="F52" s="2" t="str">
        <f t="shared" ref="F52:K52" si="10">IF(ROUND(F27,0)&lt;=ROUND(F26,0),"OK","ERROR")</f>
        <v>OK</v>
      </c>
      <c r="G52" s="2" t="str">
        <f t="shared" si="10"/>
        <v>OK</v>
      </c>
      <c r="H52" s="2" t="str">
        <f t="shared" si="10"/>
        <v>OK</v>
      </c>
      <c r="I52" s="2" t="str">
        <f t="shared" si="10"/>
        <v>OK</v>
      </c>
      <c r="J52" s="2" t="str">
        <f t="shared" si="10"/>
        <v>OK</v>
      </c>
      <c r="K52" s="2" t="str">
        <f t="shared" si="10"/>
        <v>OK</v>
      </c>
      <c r="L52"/>
      <c r="M52"/>
      <c r="N52"/>
      <c r="O52"/>
      <c r="P52"/>
      <c r="Q52" s="2" t="str">
        <f>IF(ROUND(Q27,0)&lt;=ROUND(Q26,0),"OK","ERROR")</f>
        <v>OK</v>
      </c>
      <c r="R52"/>
      <c r="S52" s="2" t="str">
        <f>IF(ROUND(S27,0)&lt;=ROUND(S26,0),"OK","ERROR")</f>
        <v>OK</v>
      </c>
      <c r="T52" s="2" t="str">
        <f>IF(ROUND(T27,0)&lt;=ROUND(T26,0),"OK","ERROR")</f>
        <v>OK</v>
      </c>
      <c r="U52" s="2" t="str">
        <f>IF(ROUND(U27,0)&lt;=ROUND(U26,0),"OK","ERROR")</f>
        <v>OK</v>
      </c>
      <c r="V52"/>
      <c r="W52"/>
    </row>
    <row r="53" spans="2:23" x14ac:dyDescent="0.2">
      <c r="B53"/>
      <c r="C53"/>
      <c r="D53"/>
      <c r="E53"/>
      <c r="F53"/>
      <c r="G53"/>
      <c r="H53"/>
      <c r="I53"/>
      <c r="J53"/>
      <c r="K53"/>
      <c r="L53"/>
      <c r="M53"/>
      <c r="N53"/>
      <c r="O53"/>
      <c r="P53"/>
      <c r="Q53"/>
      <c r="R53"/>
      <c r="S53"/>
      <c r="T53"/>
      <c r="U53"/>
      <c r="V53"/>
      <c r="W53"/>
    </row>
    <row r="54" spans="2:23" x14ac:dyDescent="0.2">
      <c r="B54" s="4" t="s">
        <v>0</v>
      </c>
      <c r="C54" s="3"/>
      <c r="D54" s="2" t="str">
        <f>IF(ROUND(D33,0)&lt;=ROUND(D32,0),"OK","ERROR")</f>
        <v>OK</v>
      </c>
      <c r="E54" s="2" t="str">
        <f>IF(ROUND(E33,0)&gt;=ROUND(E32,0),"OK","ERROR")</f>
        <v>OK</v>
      </c>
      <c r="F54" s="2" t="str">
        <f t="shared" ref="F54:K54" si="11">IF(ROUND(F33,0)&lt;=ROUND(F32,0),"OK","ERROR")</f>
        <v>OK</v>
      </c>
      <c r="G54" s="2" t="str">
        <f t="shared" si="11"/>
        <v>OK</v>
      </c>
      <c r="H54" s="2" t="str">
        <f t="shared" si="11"/>
        <v>OK</v>
      </c>
      <c r="I54" s="2" t="str">
        <f t="shared" si="11"/>
        <v>OK</v>
      </c>
      <c r="J54" s="2" t="str">
        <f t="shared" si="11"/>
        <v>OK</v>
      </c>
      <c r="K54" s="2" t="str">
        <f t="shared" si="11"/>
        <v>OK</v>
      </c>
      <c r="L54"/>
      <c r="M54"/>
      <c r="N54"/>
      <c r="O54"/>
      <c r="P54"/>
      <c r="Q54" s="2" t="str">
        <f>IF(ROUND(Q33,0)&lt;=ROUND(Q32,0),"OK","ERROR")</f>
        <v>OK</v>
      </c>
      <c r="R54"/>
      <c r="S54" s="2" t="str">
        <f>IF(ROUND(S33,0)&lt;=ROUND(S32,0),"OK","ERROR")</f>
        <v>OK</v>
      </c>
      <c r="T54" s="2" t="str">
        <f>IF(ROUND(T33,0)&lt;=ROUND(T32,0),"OK","ERROR")</f>
        <v>OK</v>
      </c>
      <c r="U54" s="2" t="str">
        <f>IF(ROUND(U33,0)&lt;=ROUND(U32,0),"OK","ERROR")</f>
        <v>OK</v>
      </c>
      <c r="V54"/>
      <c r="W54"/>
    </row>
    <row r="55" spans="2:23" x14ac:dyDescent="0.2">
      <c r="V55"/>
      <c r="W55"/>
    </row>
  </sheetData>
  <mergeCells count="1">
    <mergeCell ref="U8:U12"/>
  </mergeCells>
  <conditionalFormatting sqref="D25">
    <cfRule type="cellIs" dxfId="8" priority="1" stopIfTrue="1" operator="equal">
      <formula>$D$49="ERROR"</formula>
    </cfRule>
  </conditionalFormatting>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colBreaks count="1" manualBreakCount="1">
    <brk id="11" max="34"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tabColor rgb="FFFF0000"/>
  </sheetPr>
  <dimension ref="A1:AF55"/>
  <sheetViews>
    <sheetView workbookViewId="0"/>
  </sheetViews>
  <sheetFormatPr defaultColWidth="11.42578125" defaultRowHeight="12.75" x14ac:dyDescent="0.2"/>
  <cols>
    <col min="1" max="1" width="8.42578125" style="1" customWidth="1"/>
    <col min="2" max="2" width="39.42578125" style="1" customWidth="1"/>
    <col min="3" max="3" width="4.5703125" style="1" customWidth="1"/>
    <col min="4" max="6" width="20.42578125" style="1" customWidth="1"/>
    <col min="7" max="7" width="15.5703125" style="1" customWidth="1"/>
    <col min="8" max="8" width="16.42578125" style="1" customWidth="1"/>
    <col min="9" max="9" width="15.5703125" style="1" customWidth="1"/>
    <col min="10" max="10" width="17.5703125" style="1" customWidth="1"/>
    <col min="11" max="11" width="24.5703125" style="1" customWidth="1"/>
    <col min="12" max="16" width="17.5703125" style="1" customWidth="1"/>
    <col min="17" max="20" width="20.42578125" style="1" customWidth="1"/>
    <col min="21" max="21" width="24.5703125" style="1" customWidth="1"/>
    <col min="22" max="22" width="4.5703125" style="1" customWidth="1"/>
    <col min="23" max="25" width="11.42578125" style="1" customWidth="1"/>
    <col min="26" max="26" width="21.5703125" style="1" customWidth="1"/>
    <col min="27" max="30" width="11.42578125" style="1" customWidth="1"/>
    <col min="31" max="31" width="21.5703125" style="1" customWidth="1"/>
    <col min="32" max="16384" width="11.42578125" style="1"/>
  </cols>
  <sheetData>
    <row r="1" spans="1:31" ht="25.35" customHeight="1" x14ac:dyDescent="0.25">
      <c r="A1" s="9"/>
      <c r="B1" s="9"/>
      <c r="C1" s="9"/>
      <c r="E1" s="78" t="s">
        <v>101</v>
      </c>
      <c r="G1" s="41"/>
      <c r="H1" s="41"/>
      <c r="I1" s="41"/>
      <c r="J1" s="101" t="s">
        <v>100</v>
      </c>
      <c r="K1" s="105" t="s">
        <v>110</v>
      </c>
      <c r="L1" s="41"/>
      <c r="M1" s="78" t="s">
        <v>101</v>
      </c>
      <c r="N1" s="41"/>
      <c r="O1" s="41"/>
      <c r="P1" s="41"/>
      <c r="Q1" s="41"/>
      <c r="R1" s="41"/>
      <c r="S1" s="41"/>
      <c r="T1" s="101" t="s">
        <v>100</v>
      </c>
      <c r="U1" s="105" t="str">
        <f>K1</f>
        <v>P_CRSABIS_05</v>
      </c>
      <c r="V1" s="41"/>
    </row>
    <row r="2" spans="1:31" ht="25.35" customHeight="1" x14ac:dyDescent="0.25">
      <c r="A2" s="9"/>
      <c r="B2" s="41"/>
      <c r="C2" s="9"/>
      <c r="E2" s="104" t="s">
        <v>99</v>
      </c>
      <c r="G2" s="41"/>
      <c r="H2" s="41"/>
      <c r="I2"/>
      <c r="J2" s="101" t="s">
        <v>98</v>
      </c>
      <c r="K2" s="103" t="s">
        <v>119</v>
      </c>
      <c r="L2" s="41"/>
      <c r="M2" s="104" t="s">
        <v>99</v>
      </c>
      <c r="N2" s="9"/>
      <c r="O2" s="41"/>
      <c r="P2" s="41"/>
      <c r="Q2" s="41"/>
      <c r="R2" s="41"/>
      <c r="S2" s="41"/>
      <c r="T2" s="101" t="s">
        <v>98</v>
      </c>
      <c r="U2" s="103" t="str">
        <f>K2</f>
        <v>XXXXXX</v>
      </c>
      <c r="V2" s="41"/>
    </row>
    <row r="3" spans="1:31" ht="25.35" customHeight="1" x14ac:dyDescent="0.25">
      <c r="A3" s="9"/>
      <c r="B3" s="41"/>
      <c r="C3" s="9"/>
      <c r="E3" s="102" t="s">
        <v>97</v>
      </c>
      <c r="G3" s="41"/>
      <c r="I3"/>
      <c r="J3" s="101" t="s">
        <v>96</v>
      </c>
      <c r="K3" s="100" t="s">
        <v>121</v>
      </c>
      <c r="L3" s="41"/>
      <c r="M3" s="102" t="s">
        <v>97</v>
      </c>
      <c r="N3" s="9"/>
      <c r="O3" s="41"/>
      <c r="P3" s="41"/>
      <c r="Q3" s="41"/>
      <c r="R3" s="41"/>
      <c r="S3" s="41"/>
      <c r="T3" s="101" t="s">
        <v>96</v>
      </c>
      <c r="U3" s="100" t="str">
        <f>K3</f>
        <v>DD.MM.YYYY</v>
      </c>
      <c r="V3" s="41"/>
    </row>
    <row r="4" spans="1:31" ht="25.35" customHeight="1" x14ac:dyDescent="0.25">
      <c r="A4" s="9"/>
      <c r="B4" s="41"/>
      <c r="C4" s="9"/>
      <c r="E4" s="97" t="s">
        <v>109</v>
      </c>
      <c r="H4" s="41"/>
      <c r="I4"/>
      <c r="J4" s="99"/>
      <c r="K4" s="98"/>
      <c r="L4" s="41"/>
      <c r="M4" s="97" t="s">
        <v>109</v>
      </c>
      <c r="N4" s="41"/>
      <c r="O4" s="41"/>
      <c r="P4" s="41"/>
      <c r="Q4" s="41"/>
      <c r="R4" s="41"/>
      <c r="S4" s="41"/>
      <c r="T4" s="41"/>
      <c r="U4" s="41"/>
      <c r="V4" s="41"/>
    </row>
    <row r="5" spans="1:31" ht="25.35" customHeight="1" x14ac:dyDescent="0.2">
      <c r="A5" s="9"/>
      <c r="B5" s="41"/>
      <c r="C5" s="9"/>
      <c r="E5" s="1" t="s">
        <v>94</v>
      </c>
      <c r="F5" s="41"/>
      <c r="G5" s="41"/>
      <c r="H5" s="41"/>
      <c r="I5" s="41"/>
      <c r="J5" s="41"/>
      <c r="K5" s="41"/>
      <c r="L5" s="41"/>
      <c r="M5" s="1" t="s">
        <v>94</v>
      </c>
      <c r="N5" s="41"/>
      <c r="O5" s="41"/>
      <c r="P5" s="41"/>
      <c r="Q5" s="41"/>
      <c r="R5" s="41"/>
      <c r="S5" s="41"/>
      <c r="T5" s="41"/>
      <c r="U5" s="41"/>
      <c r="V5" s="41"/>
    </row>
    <row r="6" spans="1:31" ht="25.35" customHeight="1" x14ac:dyDescent="0.2">
      <c r="A6" s="9"/>
      <c r="B6" s="41"/>
      <c r="C6" s="9"/>
      <c r="D6" s="9"/>
    </row>
    <row r="7" spans="1:31" ht="25.35" customHeight="1" x14ac:dyDescent="0.2">
      <c r="A7" s="12"/>
      <c r="B7" s="41"/>
      <c r="C7" s="12"/>
      <c r="D7" s="12"/>
      <c r="F7" s="41"/>
      <c r="G7" s="41"/>
      <c r="H7" s="41"/>
      <c r="I7" s="41"/>
      <c r="J7" s="60"/>
      <c r="K7" s="60"/>
      <c r="L7" s="41"/>
      <c r="N7" s="60"/>
      <c r="O7" s="41"/>
      <c r="P7" s="41"/>
      <c r="Q7" s="41"/>
      <c r="R7" s="41"/>
      <c r="S7" s="41"/>
      <c r="T7" s="41"/>
      <c r="U7" s="41"/>
      <c r="V7" s="60"/>
    </row>
    <row r="8" spans="1:31" ht="17.850000000000001" customHeight="1" x14ac:dyDescent="0.25">
      <c r="A8" s="96"/>
      <c r="B8" s="95"/>
      <c r="C8" s="88"/>
      <c r="D8" s="94" t="s">
        <v>93</v>
      </c>
      <c r="E8" s="94" t="s">
        <v>92</v>
      </c>
      <c r="F8" s="93" t="s">
        <v>90</v>
      </c>
      <c r="G8" s="81" t="s">
        <v>91</v>
      </c>
      <c r="H8" s="82"/>
      <c r="I8" s="82"/>
      <c r="J8" s="92"/>
      <c r="K8" s="80" t="s">
        <v>90</v>
      </c>
      <c r="L8" s="82" t="s">
        <v>89</v>
      </c>
      <c r="M8" s="91"/>
      <c r="N8" s="91"/>
      <c r="O8" s="91"/>
      <c r="P8" s="80"/>
      <c r="Q8" s="90" t="s">
        <v>88</v>
      </c>
      <c r="R8" s="90" t="s">
        <v>87</v>
      </c>
      <c r="S8" s="90" t="s">
        <v>86</v>
      </c>
      <c r="T8" s="89" t="s">
        <v>85</v>
      </c>
      <c r="U8" s="1676" t="s">
        <v>84</v>
      </c>
      <c r="V8" s="88"/>
      <c r="W8" s="71"/>
      <c r="X8" s="71"/>
      <c r="Y8" s="9"/>
      <c r="Z8" s="9"/>
    </row>
    <row r="9" spans="1:31" ht="17.850000000000001" customHeight="1" x14ac:dyDescent="0.25">
      <c r="A9" s="79"/>
      <c r="B9" s="78"/>
      <c r="C9" s="62"/>
      <c r="D9" s="77" t="s">
        <v>83</v>
      </c>
      <c r="E9" s="77" t="s">
        <v>82</v>
      </c>
      <c r="F9" s="70" t="s">
        <v>80</v>
      </c>
      <c r="G9" s="85" t="s">
        <v>81</v>
      </c>
      <c r="H9" s="87"/>
      <c r="I9" s="87"/>
      <c r="J9" s="66"/>
      <c r="K9" s="66" t="s">
        <v>80</v>
      </c>
      <c r="L9" s="86"/>
      <c r="M9" s="86"/>
      <c r="N9" s="86"/>
      <c r="O9" s="75"/>
      <c r="P9" s="72"/>
      <c r="Q9" s="63" t="s">
        <v>79</v>
      </c>
      <c r="R9" s="63" t="s">
        <v>78</v>
      </c>
      <c r="S9" s="63" t="s">
        <v>77</v>
      </c>
      <c r="T9" s="77" t="s">
        <v>76</v>
      </c>
      <c r="U9" s="1677"/>
      <c r="V9" s="62"/>
      <c r="W9" s="71"/>
      <c r="X9" s="71"/>
      <c r="Y9" s="9"/>
      <c r="Z9" s="9"/>
    </row>
    <row r="10" spans="1:31" ht="17.850000000000001" customHeight="1" x14ac:dyDescent="0.25">
      <c r="A10" s="79"/>
      <c r="B10" s="78"/>
      <c r="C10" s="62"/>
      <c r="D10" s="77" t="s">
        <v>75</v>
      </c>
      <c r="E10" s="77" t="s">
        <v>74</v>
      </c>
      <c r="F10" s="70" t="s">
        <v>73</v>
      </c>
      <c r="G10" s="85"/>
      <c r="H10" s="84"/>
      <c r="I10" s="84"/>
      <c r="J10" s="83"/>
      <c r="K10" s="66" t="s">
        <v>72</v>
      </c>
      <c r="L10" s="82" t="s">
        <v>71</v>
      </c>
      <c r="M10" s="80"/>
      <c r="N10" s="66" t="s">
        <v>70</v>
      </c>
      <c r="O10" s="81" t="s">
        <v>69</v>
      </c>
      <c r="P10" s="80"/>
      <c r="Q10" s="63" t="s">
        <v>68</v>
      </c>
      <c r="R10" s="63" t="s">
        <v>67</v>
      </c>
      <c r="S10" s="63" t="s">
        <v>66</v>
      </c>
      <c r="T10" s="63"/>
      <c r="U10" s="1677"/>
      <c r="V10" s="62"/>
      <c r="W10" s="71"/>
      <c r="X10" s="71"/>
      <c r="Y10" s="9"/>
      <c r="Z10" s="9"/>
    </row>
    <row r="11" spans="1:31" ht="17.850000000000001" customHeight="1" x14ac:dyDescent="0.25">
      <c r="A11" s="79"/>
      <c r="B11" s="78"/>
      <c r="C11" s="62"/>
      <c r="D11" s="77"/>
      <c r="E11" s="77" t="s">
        <v>65</v>
      </c>
      <c r="F11" s="70" t="s">
        <v>64</v>
      </c>
      <c r="G11" s="76"/>
      <c r="H11" s="75"/>
      <c r="I11" s="74"/>
      <c r="J11" s="72"/>
      <c r="K11" s="66" t="s">
        <v>63</v>
      </c>
      <c r="L11" s="74" t="s">
        <v>62</v>
      </c>
      <c r="M11" s="72"/>
      <c r="N11" s="72" t="s">
        <v>61</v>
      </c>
      <c r="O11" s="73" t="s">
        <v>60</v>
      </c>
      <c r="P11" s="72"/>
      <c r="Q11" s="63" t="s">
        <v>59</v>
      </c>
      <c r="R11" s="63" t="s">
        <v>58</v>
      </c>
      <c r="T11" s="63"/>
      <c r="U11" s="1677"/>
      <c r="V11" s="62"/>
      <c r="W11" s="71"/>
      <c r="X11" s="71"/>
      <c r="Y11" s="9"/>
      <c r="Z11" s="9"/>
    </row>
    <row r="12" spans="1:31" ht="85.35" customHeight="1" x14ac:dyDescent="0.2">
      <c r="A12" s="9"/>
      <c r="B12" s="9"/>
      <c r="C12" s="62"/>
      <c r="D12" s="63"/>
      <c r="E12" s="63" t="s">
        <v>57</v>
      </c>
      <c r="F12" s="70" t="s">
        <v>56</v>
      </c>
      <c r="G12" s="69" t="s">
        <v>34</v>
      </c>
      <c r="H12" s="67">
        <v>0.2</v>
      </c>
      <c r="I12" s="68">
        <v>0.5</v>
      </c>
      <c r="J12" s="67">
        <v>1</v>
      </c>
      <c r="K12" s="66" t="s">
        <v>55</v>
      </c>
      <c r="L12" s="65" t="s">
        <v>54</v>
      </c>
      <c r="M12" s="64" t="s">
        <v>53</v>
      </c>
      <c r="N12" s="64" t="s">
        <v>52</v>
      </c>
      <c r="O12" s="63" t="s">
        <v>51</v>
      </c>
      <c r="P12" s="63" t="s">
        <v>50</v>
      </c>
      <c r="Q12" s="63" t="s">
        <v>49</v>
      </c>
      <c r="R12" s="63" t="s">
        <v>48</v>
      </c>
      <c r="S12" s="63"/>
      <c r="T12" s="63"/>
      <c r="U12" s="1677"/>
      <c r="V12" s="62"/>
      <c r="W12" s="61"/>
      <c r="X12" s="61"/>
      <c r="Y12" s="61"/>
      <c r="Z12" s="61"/>
    </row>
    <row r="13" spans="1:31" ht="25.35" customHeight="1" x14ac:dyDescent="0.2">
      <c r="A13" s="41"/>
      <c r="B13" s="60"/>
      <c r="C13" s="58"/>
      <c r="D13" s="59" t="s">
        <v>22</v>
      </c>
      <c r="E13" s="59" t="s">
        <v>21</v>
      </c>
      <c r="F13" s="59" t="s">
        <v>20</v>
      </c>
      <c r="G13" s="59" t="s">
        <v>19</v>
      </c>
      <c r="H13" s="59" t="s">
        <v>18</v>
      </c>
      <c r="I13" s="59" t="s">
        <v>17</v>
      </c>
      <c r="J13" s="59" t="s">
        <v>16</v>
      </c>
      <c r="K13" s="59" t="s">
        <v>15</v>
      </c>
      <c r="L13" s="59" t="s">
        <v>14</v>
      </c>
      <c r="M13" s="59" t="s">
        <v>13</v>
      </c>
      <c r="N13" s="59" t="s">
        <v>12</v>
      </c>
      <c r="O13" s="59" t="s">
        <v>11</v>
      </c>
      <c r="P13" s="59" t="s">
        <v>10</v>
      </c>
      <c r="Q13" s="59" t="s">
        <v>9</v>
      </c>
      <c r="R13" s="59" t="s">
        <v>8</v>
      </c>
      <c r="S13" s="59" t="s">
        <v>7</v>
      </c>
      <c r="T13" s="59" t="s">
        <v>6</v>
      </c>
      <c r="U13" s="59" t="s">
        <v>5</v>
      </c>
      <c r="V13" s="58"/>
      <c r="X13" s="9" t="s">
        <v>47</v>
      </c>
      <c r="Y13" s="9" t="s">
        <v>46</v>
      </c>
      <c r="Z13" s="9" t="s">
        <v>45</v>
      </c>
      <c r="AA13" s="9" t="s">
        <v>44</v>
      </c>
      <c r="AB13" s="9" t="s">
        <v>43</v>
      </c>
      <c r="AC13" s="9" t="s">
        <v>42</v>
      </c>
      <c r="AD13" s="9" t="s">
        <v>41</v>
      </c>
      <c r="AE13" s="9" t="s">
        <v>40</v>
      </c>
    </row>
    <row r="14" spans="1:31" ht="25.35" customHeight="1" thickBot="1" x14ac:dyDescent="0.25">
      <c r="A14" s="57"/>
      <c r="B14" s="56" t="s">
        <v>39</v>
      </c>
      <c r="C14" s="31">
        <v>1</v>
      </c>
      <c r="D14" s="32">
        <f>SUM(D19:D21,D23:D24,D26,D28,D32,D34)</f>
        <v>0</v>
      </c>
      <c r="E14" s="32">
        <f>SUM(E19:E21,E23:E24,E26,E28,E32,E34)</f>
        <v>0</v>
      </c>
      <c r="F14" s="32">
        <f>D14+E14</f>
        <v>0</v>
      </c>
      <c r="G14" s="32">
        <f>SUM(G19:G21,G23:G24,G26,G28,G32,G34)</f>
        <v>0</v>
      </c>
      <c r="H14" s="32">
        <f>SUM(H19:H21,H23:H24,H26,H28,H32,H34)</f>
        <v>0</v>
      </c>
      <c r="I14" s="32">
        <f>SUM(I19:I21,I23:I24,I26,I28,I32,I34)</f>
        <v>0</v>
      </c>
      <c r="J14" s="32">
        <f>SUM(J19:J21,J23:J24,J26,J28,J32,J34)</f>
        <v>0</v>
      </c>
      <c r="K14" s="55">
        <f>F14-G14-0.8*H14-0.5*I14</f>
        <v>0</v>
      </c>
      <c r="L14" s="54"/>
      <c r="M14" s="33"/>
      <c r="N14" s="37"/>
      <c r="O14" s="32">
        <f>(L14+M14+N14)*-1</f>
        <v>0</v>
      </c>
      <c r="P14" s="33"/>
      <c r="Q14" s="32">
        <f>SUM(Q19:Q21,Q23:Q24,Q26,Q28,Q32,Q34)</f>
        <v>0</v>
      </c>
      <c r="R14" s="33"/>
      <c r="S14" s="32">
        <f>SUM(S19:S21,S23:S24,S26,S28,S32,S34)</f>
        <v>0</v>
      </c>
      <c r="T14" s="32">
        <f>SUM(T19:T21,T23:T24,T26,T28,T32,T34)</f>
        <v>0</v>
      </c>
      <c r="U14" s="32">
        <f>T14*0.08</f>
        <v>0</v>
      </c>
      <c r="V14" s="31">
        <v>1</v>
      </c>
      <c r="W14" s="23"/>
      <c r="X14" s="53" t="str">
        <f>IF(D14&gt;=0,"OK","ERROR")</f>
        <v>OK</v>
      </c>
      <c r="Y14" s="53" t="str">
        <f>IF(E14&lt;=0,"OK","ERROR")</f>
        <v>OK</v>
      </c>
      <c r="Z14" s="53" t="str">
        <f>IF(MIN(F14:N14)&gt;=0,"OK","ERROR")</f>
        <v>OK</v>
      </c>
      <c r="AA14" s="53" t="str">
        <f>IF(O14&lt;=0,"OK","ERROR")</f>
        <v>OK</v>
      </c>
      <c r="AB14" s="53" t="str">
        <f>IF(P14&gt;=0,"OK","ERROR")</f>
        <v>OK</v>
      </c>
      <c r="AC14" s="53" t="str">
        <f>IF(Q14&gt;=0,"OK","ERROR")</f>
        <v>OK</v>
      </c>
      <c r="AD14" s="53" t="str">
        <f>IF(R14&lt;=0,"OK","ERROR")</f>
        <v>OK</v>
      </c>
      <c r="AE14" s="53" t="str">
        <f>IF(MIN(S14:U14)&gt;=0,"OK","ERROR")</f>
        <v>OK</v>
      </c>
    </row>
    <row r="15" spans="1:31" ht="37.5" customHeight="1" thickTop="1" x14ac:dyDescent="0.2">
      <c r="A15" s="39"/>
      <c r="B15" s="47" t="s">
        <v>38</v>
      </c>
      <c r="C15" s="31"/>
      <c r="D15" s="46"/>
      <c r="E15" s="46"/>
      <c r="F15" s="46"/>
      <c r="G15" s="46"/>
      <c r="H15" s="46"/>
      <c r="I15" s="46"/>
      <c r="J15" s="46"/>
      <c r="K15" s="46"/>
      <c r="L15" s="46"/>
      <c r="M15" s="46"/>
      <c r="N15" s="46"/>
      <c r="O15" s="46"/>
      <c r="P15" s="46"/>
      <c r="Q15" s="46"/>
      <c r="R15" s="46"/>
      <c r="S15" s="46"/>
      <c r="T15" s="46"/>
      <c r="U15" s="46"/>
      <c r="V15" s="31"/>
      <c r="W15" s="45"/>
      <c r="X15" s="52"/>
      <c r="Y15" s="52"/>
      <c r="Z15" s="52"/>
      <c r="AA15" s="9"/>
      <c r="AB15" s="51"/>
      <c r="AC15" s="9"/>
      <c r="AD15" s="9"/>
      <c r="AE15" s="50"/>
    </row>
    <row r="16" spans="1:31" ht="25.35" customHeight="1" thickBot="1" x14ac:dyDescent="0.25">
      <c r="A16" s="39"/>
      <c r="B16" s="48" t="s">
        <v>37</v>
      </c>
      <c r="C16" s="31">
        <v>2</v>
      </c>
      <c r="D16" s="33"/>
      <c r="E16" s="33"/>
      <c r="F16" s="32">
        <f>D16+E16</f>
        <v>0</v>
      </c>
      <c r="G16" s="34"/>
      <c r="H16" s="34"/>
      <c r="I16" s="34"/>
      <c r="J16" s="49"/>
      <c r="K16" s="36">
        <f>F16</f>
        <v>0</v>
      </c>
      <c r="L16" s="35"/>
      <c r="M16" s="34"/>
      <c r="N16" s="34"/>
      <c r="O16" s="34"/>
      <c r="P16" s="34"/>
      <c r="Q16" s="33"/>
      <c r="R16" s="34"/>
      <c r="S16" s="33"/>
      <c r="T16" s="33"/>
      <c r="U16" s="32">
        <f>T16*0.08</f>
        <v>0</v>
      </c>
      <c r="V16" s="31">
        <v>2</v>
      </c>
      <c r="W16" s="23"/>
      <c r="X16" s="2" t="str">
        <f>IF(D16&gt;=0,"OK","ERROR")</f>
        <v>OK</v>
      </c>
      <c r="Y16" s="2" t="str">
        <f>IF(E16&lt;=0,"OK","ERROR")</f>
        <v>OK</v>
      </c>
      <c r="Z16" s="2" t="str">
        <f>IF(MIN(F16:N16)&gt;=0,"OK","ERROR")</f>
        <v>OK</v>
      </c>
      <c r="AA16" s="9"/>
      <c r="AB16" s="9"/>
      <c r="AC16" s="2" t="str">
        <f>IF(Q16&gt;=0,"OK","ERROR")</f>
        <v>OK</v>
      </c>
      <c r="AD16" s="9"/>
      <c r="AE16" s="2" t="str">
        <f>IF(MIN(S16:U16)&gt;=0,"OK","ERROR")</f>
        <v>OK</v>
      </c>
    </row>
    <row r="17" spans="1:32" ht="25.35" customHeight="1" thickTop="1" thickBot="1" x14ac:dyDescent="0.25">
      <c r="A17" s="39"/>
      <c r="B17" s="48" t="s">
        <v>36</v>
      </c>
      <c r="C17" s="31">
        <v>3</v>
      </c>
      <c r="D17" s="33"/>
      <c r="E17" s="33"/>
      <c r="F17" s="32">
        <f>D17+E17</f>
        <v>0</v>
      </c>
      <c r="G17" s="33"/>
      <c r="H17" s="33"/>
      <c r="I17" s="33"/>
      <c r="J17" s="37"/>
      <c r="K17" s="36">
        <f>F17-G17-0.8*H17-0.5*I17</f>
        <v>0</v>
      </c>
      <c r="L17" s="35"/>
      <c r="M17" s="34"/>
      <c r="N17" s="34"/>
      <c r="O17" s="34"/>
      <c r="P17" s="34"/>
      <c r="Q17" s="33"/>
      <c r="R17" s="34"/>
      <c r="S17" s="33"/>
      <c r="T17" s="33"/>
      <c r="U17" s="32">
        <f>T17*0.08</f>
        <v>0</v>
      </c>
      <c r="V17" s="31">
        <v>3</v>
      </c>
      <c r="W17" s="23"/>
      <c r="X17" s="2" t="str">
        <f>IF(D17&gt;=0,"OK","ERROR")</f>
        <v>OK</v>
      </c>
      <c r="Y17" s="2" t="str">
        <f>IF(E17&lt;=0,"OK","ERROR")</f>
        <v>OK</v>
      </c>
      <c r="Z17" s="2" t="str">
        <f>IF(MIN(F17:N17)&gt;=0,"OK","ERROR")</f>
        <v>OK</v>
      </c>
      <c r="AA17" s="9"/>
      <c r="AB17" s="9"/>
      <c r="AC17" s="2" t="str">
        <f>IF(Q17&gt;=0,"OK","ERROR")</f>
        <v>OK</v>
      </c>
      <c r="AD17" s="9"/>
      <c r="AE17" s="2" t="str">
        <f>IF(MIN(S17:U17)&gt;=0,"OK","ERROR")</f>
        <v>OK</v>
      </c>
    </row>
    <row r="18" spans="1:32" ht="55.35" customHeight="1" thickTop="1" x14ac:dyDescent="0.2">
      <c r="A18" s="39"/>
      <c r="B18" s="47" t="s">
        <v>35</v>
      </c>
      <c r="C18" s="31"/>
      <c r="D18" s="46"/>
      <c r="E18" s="46"/>
      <c r="F18" s="46"/>
      <c r="G18" s="46"/>
      <c r="H18" s="46"/>
      <c r="I18" s="46"/>
      <c r="J18" s="46"/>
      <c r="K18" s="46"/>
      <c r="L18" s="46"/>
      <c r="M18" s="46"/>
      <c r="N18" s="46"/>
      <c r="O18" s="46"/>
      <c r="P18" s="46"/>
      <c r="Q18" s="46"/>
      <c r="R18" s="46"/>
      <c r="S18" s="46"/>
      <c r="T18" s="46"/>
      <c r="U18" s="46"/>
      <c r="V18" s="31"/>
      <c r="W18" s="45"/>
      <c r="X18" s="24"/>
      <c r="Y18" s="27"/>
      <c r="Z18" s="44"/>
      <c r="AA18" s="9"/>
      <c r="AB18" s="9"/>
      <c r="AC18" s="9"/>
      <c r="AD18" s="9"/>
      <c r="AE18" s="9"/>
      <c r="AF18" s="9"/>
    </row>
    <row r="19" spans="1:32" ht="25.35" customHeight="1" thickBot="1" x14ac:dyDescent="0.25">
      <c r="A19" s="39"/>
      <c r="B19" s="43" t="s">
        <v>34</v>
      </c>
      <c r="C19" s="31">
        <v>4</v>
      </c>
      <c r="D19" s="33"/>
      <c r="E19" s="33"/>
      <c r="F19" s="32">
        <f t="shared" ref="F19:F34" si="0">D19+E19</f>
        <v>0</v>
      </c>
      <c r="G19" s="33"/>
      <c r="H19" s="33"/>
      <c r="I19" s="33"/>
      <c r="J19" s="37"/>
      <c r="K19" s="36">
        <f t="shared" ref="K19:K34" si="1">F19-G19-0.8*H19-0.5*I19</f>
        <v>0</v>
      </c>
      <c r="L19" s="35"/>
      <c r="M19" s="34"/>
      <c r="N19" s="34"/>
      <c r="O19" s="34"/>
      <c r="P19" s="34"/>
      <c r="Q19" s="33"/>
      <c r="R19" s="34"/>
      <c r="S19" s="33"/>
      <c r="T19" s="34"/>
      <c r="U19" s="34"/>
      <c r="V19" s="31">
        <v>4</v>
      </c>
      <c r="W19" s="23"/>
      <c r="X19" s="2" t="str">
        <f t="shared" ref="X19:X34" si="2">IF(D19&gt;=0,"OK","ERROR")</f>
        <v>OK</v>
      </c>
      <c r="Y19" s="2" t="str">
        <f t="shared" ref="Y19:Y34" si="3">IF(E19&lt;=0,"OK","ERROR")</f>
        <v>OK</v>
      </c>
      <c r="Z19" s="2" t="str">
        <f t="shared" ref="Z19:Z34" si="4">IF(MIN(F19:N19)&gt;=0,"OK","ERROR")</f>
        <v>OK</v>
      </c>
      <c r="AA19" s="9"/>
      <c r="AB19" s="9"/>
      <c r="AC19" s="2" t="str">
        <f t="shared" ref="AC19:AC34" si="5">IF(Q19&gt;=0,"OK","ERROR")</f>
        <v>OK</v>
      </c>
      <c r="AD19" s="9"/>
      <c r="AE19" s="2" t="str">
        <f t="shared" ref="AE19:AE34" si="6">IF(MIN(S19:U19)&gt;=0,"OK","ERROR")</f>
        <v>OK</v>
      </c>
    </row>
    <row r="20" spans="1:32" ht="25.35" customHeight="1" thickTop="1" thickBot="1" x14ac:dyDescent="0.25">
      <c r="A20" s="39"/>
      <c r="B20" s="38">
        <v>0.1</v>
      </c>
      <c r="C20" s="31">
        <v>19</v>
      </c>
      <c r="D20" s="33"/>
      <c r="E20" s="33"/>
      <c r="F20" s="32">
        <f t="shared" si="0"/>
        <v>0</v>
      </c>
      <c r="G20" s="33"/>
      <c r="H20" s="33"/>
      <c r="I20" s="33"/>
      <c r="J20" s="37"/>
      <c r="K20" s="36">
        <f t="shared" si="1"/>
        <v>0</v>
      </c>
      <c r="L20" s="35"/>
      <c r="M20" s="34"/>
      <c r="N20" s="34"/>
      <c r="O20" s="34"/>
      <c r="P20" s="34"/>
      <c r="Q20" s="33"/>
      <c r="R20" s="34"/>
      <c r="S20" s="33"/>
      <c r="T20" s="32">
        <f>S20*0.1</f>
        <v>0</v>
      </c>
      <c r="U20" s="32">
        <f t="shared" ref="U20:U34" si="7">T20*0.08</f>
        <v>0</v>
      </c>
      <c r="V20" s="31">
        <v>19</v>
      </c>
      <c r="W20" s="23"/>
      <c r="X20" s="2" t="str">
        <f t="shared" si="2"/>
        <v>OK</v>
      </c>
      <c r="Y20" s="2" t="str">
        <f t="shared" si="3"/>
        <v>OK</v>
      </c>
      <c r="Z20" s="2" t="str">
        <f t="shared" si="4"/>
        <v>OK</v>
      </c>
      <c r="AA20" s="9"/>
      <c r="AB20" s="9"/>
      <c r="AC20" s="2" t="str">
        <f t="shared" si="5"/>
        <v>OK</v>
      </c>
      <c r="AD20" s="9"/>
      <c r="AE20" s="2" t="str">
        <f t="shared" si="6"/>
        <v>OK</v>
      </c>
    </row>
    <row r="21" spans="1:32" ht="25.35" customHeight="1" thickTop="1" thickBot="1" x14ac:dyDescent="0.25">
      <c r="A21" s="39"/>
      <c r="B21" s="38" t="s">
        <v>33</v>
      </c>
      <c r="C21" s="31">
        <v>5</v>
      </c>
      <c r="D21" s="33"/>
      <c r="E21" s="33"/>
      <c r="F21" s="32">
        <f t="shared" si="0"/>
        <v>0</v>
      </c>
      <c r="G21" s="33"/>
      <c r="H21" s="33"/>
      <c r="I21" s="33"/>
      <c r="J21" s="37"/>
      <c r="K21" s="36">
        <f t="shared" si="1"/>
        <v>0</v>
      </c>
      <c r="L21" s="35"/>
      <c r="M21" s="34"/>
      <c r="N21" s="34"/>
      <c r="O21" s="34"/>
      <c r="P21" s="34"/>
      <c r="Q21" s="33"/>
      <c r="R21" s="34"/>
      <c r="S21" s="33"/>
      <c r="T21" s="32">
        <f>S21*0.2</f>
        <v>0</v>
      </c>
      <c r="U21" s="32">
        <f t="shared" si="7"/>
        <v>0</v>
      </c>
      <c r="V21" s="31">
        <v>5</v>
      </c>
      <c r="W21" s="23"/>
      <c r="X21" s="2" t="str">
        <f t="shared" si="2"/>
        <v>OK</v>
      </c>
      <c r="Y21" s="2" t="str">
        <f t="shared" si="3"/>
        <v>OK</v>
      </c>
      <c r="Z21" s="2" t="str">
        <f t="shared" si="4"/>
        <v>OK</v>
      </c>
      <c r="AA21" s="9"/>
      <c r="AB21" s="9"/>
      <c r="AC21" s="2" t="str">
        <f t="shared" si="5"/>
        <v>OK</v>
      </c>
      <c r="AD21" s="9"/>
      <c r="AE21" s="2" t="str">
        <f t="shared" si="6"/>
        <v>OK</v>
      </c>
    </row>
    <row r="22" spans="1:32" ht="25.35" customHeight="1" thickTop="1" thickBot="1" x14ac:dyDescent="0.25">
      <c r="A22" s="42"/>
      <c r="B22" s="38" t="s">
        <v>29</v>
      </c>
      <c r="C22" s="31">
        <v>6</v>
      </c>
      <c r="D22" s="33"/>
      <c r="E22" s="33"/>
      <c r="F22" s="32">
        <f t="shared" si="0"/>
        <v>0</v>
      </c>
      <c r="G22" s="33"/>
      <c r="H22" s="33"/>
      <c r="I22" s="33"/>
      <c r="J22" s="37"/>
      <c r="K22" s="36">
        <f t="shared" si="1"/>
        <v>0</v>
      </c>
      <c r="L22" s="35"/>
      <c r="M22" s="34"/>
      <c r="N22" s="34"/>
      <c r="O22" s="34"/>
      <c r="P22" s="34"/>
      <c r="Q22" s="33"/>
      <c r="R22" s="34"/>
      <c r="S22" s="33"/>
      <c r="T22" s="32">
        <f>S22*0.2</f>
        <v>0</v>
      </c>
      <c r="U22" s="32">
        <f t="shared" si="7"/>
        <v>0</v>
      </c>
      <c r="V22" s="31">
        <v>6</v>
      </c>
      <c r="W22" s="23"/>
      <c r="X22" s="2" t="str">
        <f t="shared" si="2"/>
        <v>OK</v>
      </c>
      <c r="Y22" s="2" t="str">
        <f t="shared" si="3"/>
        <v>OK</v>
      </c>
      <c r="Z22" s="2" t="str">
        <f t="shared" si="4"/>
        <v>OK</v>
      </c>
      <c r="AA22" s="9"/>
      <c r="AB22" s="9"/>
      <c r="AC22" s="2" t="str">
        <f t="shared" si="5"/>
        <v>OK</v>
      </c>
      <c r="AD22" s="9"/>
      <c r="AE22" s="2" t="str">
        <f t="shared" si="6"/>
        <v>OK</v>
      </c>
    </row>
    <row r="23" spans="1:32" ht="20.85" customHeight="1" thickTop="1" thickBot="1" x14ac:dyDescent="0.25">
      <c r="A23" s="41"/>
      <c r="B23" s="38">
        <v>0.35</v>
      </c>
      <c r="C23" s="31">
        <v>7</v>
      </c>
      <c r="D23" s="33"/>
      <c r="E23" s="33"/>
      <c r="F23" s="32">
        <f t="shared" si="0"/>
        <v>0</v>
      </c>
      <c r="G23" s="33"/>
      <c r="H23" s="33"/>
      <c r="I23" s="33"/>
      <c r="J23" s="37"/>
      <c r="K23" s="36">
        <f t="shared" si="1"/>
        <v>0</v>
      </c>
      <c r="L23" s="35"/>
      <c r="M23" s="34"/>
      <c r="N23" s="34"/>
      <c r="O23" s="34"/>
      <c r="P23" s="34"/>
      <c r="Q23" s="33"/>
      <c r="R23" s="34"/>
      <c r="S23" s="33"/>
      <c r="T23" s="32">
        <f>S23*0.35</f>
        <v>0</v>
      </c>
      <c r="U23" s="32">
        <f t="shared" si="7"/>
        <v>0</v>
      </c>
      <c r="V23" s="31">
        <v>7</v>
      </c>
      <c r="W23" s="23"/>
      <c r="X23" s="2" t="str">
        <f t="shared" si="2"/>
        <v>OK</v>
      </c>
      <c r="Y23" s="2" t="str">
        <f t="shared" si="3"/>
        <v>OK</v>
      </c>
      <c r="Z23" s="2" t="str">
        <f t="shared" si="4"/>
        <v>OK</v>
      </c>
      <c r="AA23" s="9"/>
      <c r="AB23" s="9"/>
      <c r="AC23" s="2" t="str">
        <f t="shared" si="5"/>
        <v>OK</v>
      </c>
      <c r="AD23" s="9"/>
      <c r="AE23" s="2" t="str">
        <f t="shared" si="6"/>
        <v>OK</v>
      </c>
    </row>
    <row r="24" spans="1:32" ht="25.35" customHeight="1" thickTop="1" thickBot="1" x14ac:dyDescent="0.25">
      <c r="A24" s="39"/>
      <c r="B24" s="38" t="s">
        <v>32</v>
      </c>
      <c r="C24" s="31">
        <v>8</v>
      </c>
      <c r="D24" s="33"/>
      <c r="E24" s="33"/>
      <c r="F24" s="32">
        <f t="shared" si="0"/>
        <v>0</v>
      </c>
      <c r="G24" s="33"/>
      <c r="H24" s="33"/>
      <c r="I24" s="33"/>
      <c r="J24" s="37"/>
      <c r="K24" s="36">
        <f t="shared" si="1"/>
        <v>0</v>
      </c>
      <c r="L24" s="35"/>
      <c r="M24" s="34"/>
      <c r="N24" s="34"/>
      <c r="O24" s="34"/>
      <c r="P24" s="34"/>
      <c r="Q24" s="33"/>
      <c r="R24" s="34"/>
      <c r="S24" s="33"/>
      <c r="T24" s="32">
        <f>S24*0.5</f>
        <v>0</v>
      </c>
      <c r="U24" s="32">
        <f t="shared" si="7"/>
        <v>0</v>
      </c>
      <c r="V24" s="31">
        <v>8</v>
      </c>
      <c r="W24" s="23"/>
      <c r="X24" s="2" t="str">
        <f t="shared" si="2"/>
        <v>OK</v>
      </c>
      <c r="Y24" s="2" t="str">
        <f t="shared" si="3"/>
        <v>OK</v>
      </c>
      <c r="Z24" s="2" t="str">
        <f t="shared" si="4"/>
        <v>OK</v>
      </c>
      <c r="AA24" s="9"/>
      <c r="AB24" s="9"/>
      <c r="AC24" s="2" t="str">
        <f t="shared" si="5"/>
        <v>OK</v>
      </c>
      <c r="AD24" s="9"/>
      <c r="AE24" s="2" t="str">
        <f t="shared" si="6"/>
        <v>OK</v>
      </c>
    </row>
    <row r="25" spans="1:32" ht="25.35" customHeight="1" thickTop="1" thickBot="1" x14ac:dyDescent="0.25">
      <c r="A25" s="39"/>
      <c r="B25" s="38" t="s">
        <v>29</v>
      </c>
      <c r="C25" s="31">
        <v>9</v>
      </c>
      <c r="D25" s="33"/>
      <c r="E25" s="33"/>
      <c r="F25" s="32">
        <f t="shared" si="0"/>
        <v>0</v>
      </c>
      <c r="G25" s="33"/>
      <c r="H25" s="33"/>
      <c r="I25" s="33"/>
      <c r="J25" s="37"/>
      <c r="K25" s="36">
        <f t="shared" si="1"/>
        <v>0</v>
      </c>
      <c r="L25" s="35"/>
      <c r="M25" s="34"/>
      <c r="N25" s="34"/>
      <c r="O25" s="34"/>
      <c r="P25" s="34"/>
      <c r="Q25" s="33"/>
      <c r="R25" s="34"/>
      <c r="S25" s="33"/>
      <c r="T25" s="32">
        <f>S25*0.5</f>
        <v>0</v>
      </c>
      <c r="U25" s="32">
        <f t="shared" si="7"/>
        <v>0</v>
      </c>
      <c r="V25" s="31">
        <v>9</v>
      </c>
      <c r="W25" s="23"/>
      <c r="X25" s="2" t="str">
        <f t="shared" si="2"/>
        <v>OK</v>
      </c>
      <c r="Y25" s="2" t="str">
        <f t="shared" si="3"/>
        <v>OK</v>
      </c>
      <c r="Z25" s="2" t="str">
        <f t="shared" si="4"/>
        <v>OK</v>
      </c>
      <c r="AA25" s="9"/>
      <c r="AB25" s="9"/>
      <c r="AC25" s="2" t="str">
        <f t="shared" si="5"/>
        <v>OK</v>
      </c>
      <c r="AD25" s="9"/>
      <c r="AE25" s="2" t="str">
        <f t="shared" si="6"/>
        <v>OK</v>
      </c>
    </row>
    <row r="26" spans="1:32" ht="25.35" customHeight="1" thickTop="1" thickBot="1" x14ac:dyDescent="0.25">
      <c r="A26" s="39"/>
      <c r="B26" s="38" t="s">
        <v>31</v>
      </c>
      <c r="C26" s="31">
        <v>11</v>
      </c>
      <c r="D26" s="33"/>
      <c r="E26" s="33"/>
      <c r="F26" s="32">
        <f t="shared" si="0"/>
        <v>0</v>
      </c>
      <c r="G26" s="33"/>
      <c r="H26" s="33"/>
      <c r="I26" s="33"/>
      <c r="J26" s="37"/>
      <c r="K26" s="36">
        <f t="shared" si="1"/>
        <v>0</v>
      </c>
      <c r="L26" s="35"/>
      <c r="M26" s="34"/>
      <c r="N26" s="34"/>
      <c r="O26" s="34"/>
      <c r="P26" s="34"/>
      <c r="Q26" s="33"/>
      <c r="R26" s="34"/>
      <c r="S26" s="33"/>
      <c r="T26" s="32">
        <f>S26*0.75</f>
        <v>0</v>
      </c>
      <c r="U26" s="32">
        <f t="shared" si="7"/>
        <v>0</v>
      </c>
      <c r="V26" s="31">
        <v>11</v>
      </c>
      <c r="W26" s="23"/>
      <c r="X26" s="2" t="str">
        <f t="shared" si="2"/>
        <v>OK</v>
      </c>
      <c r="Y26" s="2" t="str">
        <f t="shared" si="3"/>
        <v>OK</v>
      </c>
      <c r="Z26" s="2" t="str">
        <f t="shared" si="4"/>
        <v>OK</v>
      </c>
      <c r="AA26" s="9"/>
      <c r="AB26" s="9"/>
      <c r="AC26" s="2" t="str">
        <f t="shared" si="5"/>
        <v>OK</v>
      </c>
      <c r="AD26" s="9"/>
      <c r="AE26" s="2" t="str">
        <f t="shared" si="6"/>
        <v>OK</v>
      </c>
    </row>
    <row r="27" spans="1:32" ht="25.35" customHeight="1" thickTop="1" thickBot="1" x14ac:dyDescent="0.25">
      <c r="A27" s="39"/>
      <c r="B27" s="40" t="s">
        <v>28</v>
      </c>
      <c r="C27" s="31">
        <v>20</v>
      </c>
      <c r="D27" s="33"/>
      <c r="E27" s="33"/>
      <c r="F27" s="32">
        <f t="shared" si="0"/>
        <v>0</v>
      </c>
      <c r="G27" s="33"/>
      <c r="H27" s="33"/>
      <c r="I27" s="33"/>
      <c r="J27" s="37"/>
      <c r="K27" s="36">
        <f t="shared" si="1"/>
        <v>0</v>
      </c>
      <c r="L27" s="35"/>
      <c r="M27" s="34"/>
      <c r="N27" s="34"/>
      <c r="O27" s="34"/>
      <c r="P27" s="34"/>
      <c r="Q27" s="33"/>
      <c r="R27" s="34"/>
      <c r="S27" s="33"/>
      <c r="T27" s="32">
        <f>S27*0.75</f>
        <v>0</v>
      </c>
      <c r="U27" s="32">
        <f t="shared" si="7"/>
        <v>0</v>
      </c>
      <c r="V27" s="31">
        <v>20</v>
      </c>
      <c r="W27" s="23"/>
      <c r="X27" s="2" t="str">
        <f t="shared" si="2"/>
        <v>OK</v>
      </c>
      <c r="Y27" s="2" t="str">
        <f t="shared" si="3"/>
        <v>OK</v>
      </c>
      <c r="Z27" s="2" t="str">
        <f t="shared" si="4"/>
        <v>OK</v>
      </c>
      <c r="AA27" s="9"/>
      <c r="AB27" s="9"/>
      <c r="AC27" s="2" t="str">
        <f t="shared" si="5"/>
        <v>OK</v>
      </c>
      <c r="AD27" s="9"/>
      <c r="AE27" s="2" t="str">
        <f t="shared" si="6"/>
        <v>OK</v>
      </c>
    </row>
    <row r="28" spans="1:32" ht="24.6" customHeight="1" thickTop="1" thickBot="1" x14ac:dyDescent="0.25">
      <c r="A28" s="39"/>
      <c r="B28" s="38" t="s">
        <v>30</v>
      </c>
      <c r="C28" s="31">
        <v>12</v>
      </c>
      <c r="D28" s="33"/>
      <c r="E28" s="33"/>
      <c r="F28" s="32">
        <f t="shared" si="0"/>
        <v>0</v>
      </c>
      <c r="G28" s="33"/>
      <c r="H28" s="33"/>
      <c r="I28" s="33"/>
      <c r="J28" s="37"/>
      <c r="K28" s="36">
        <f t="shared" si="1"/>
        <v>0</v>
      </c>
      <c r="L28" s="35"/>
      <c r="M28" s="34"/>
      <c r="N28" s="34"/>
      <c r="O28" s="34"/>
      <c r="P28" s="34"/>
      <c r="Q28" s="33"/>
      <c r="R28" s="34"/>
      <c r="S28" s="33"/>
      <c r="T28" s="32">
        <f>S28*1</f>
        <v>0</v>
      </c>
      <c r="U28" s="32">
        <f t="shared" si="7"/>
        <v>0</v>
      </c>
      <c r="V28" s="31">
        <v>12</v>
      </c>
      <c r="W28" s="23"/>
      <c r="X28" s="2" t="str">
        <f t="shared" si="2"/>
        <v>OK</v>
      </c>
      <c r="Y28" s="2" t="str">
        <f t="shared" si="3"/>
        <v>OK</v>
      </c>
      <c r="Z28" s="2" t="str">
        <f t="shared" si="4"/>
        <v>OK</v>
      </c>
      <c r="AA28" s="9"/>
      <c r="AB28" s="9"/>
      <c r="AC28" s="2" t="str">
        <f t="shared" si="5"/>
        <v>OK</v>
      </c>
      <c r="AD28" s="9"/>
      <c r="AE28" s="2" t="str">
        <f t="shared" si="6"/>
        <v>OK</v>
      </c>
    </row>
    <row r="29" spans="1:32" ht="24.6" customHeight="1" thickTop="1" thickBot="1" x14ac:dyDescent="0.25">
      <c r="A29" s="39"/>
      <c r="B29" s="38" t="s">
        <v>29</v>
      </c>
      <c r="C29" s="31">
        <v>13</v>
      </c>
      <c r="D29" s="33"/>
      <c r="E29" s="33"/>
      <c r="F29" s="32">
        <f t="shared" si="0"/>
        <v>0</v>
      </c>
      <c r="G29" s="33"/>
      <c r="H29" s="33"/>
      <c r="I29" s="33"/>
      <c r="J29" s="37"/>
      <c r="K29" s="36">
        <f t="shared" si="1"/>
        <v>0</v>
      </c>
      <c r="L29" s="35"/>
      <c r="M29" s="34"/>
      <c r="N29" s="34"/>
      <c r="O29" s="34"/>
      <c r="P29" s="34"/>
      <c r="Q29" s="33"/>
      <c r="R29" s="34"/>
      <c r="S29" s="33"/>
      <c r="T29" s="32">
        <f>S29*1</f>
        <v>0</v>
      </c>
      <c r="U29" s="32">
        <f t="shared" si="7"/>
        <v>0</v>
      </c>
      <c r="V29" s="31">
        <v>13</v>
      </c>
      <c r="W29" s="23"/>
      <c r="X29" s="2" t="str">
        <f t="shared" si="2"/>
        <v>OK</v>
      </c>
      <c r="Y29" s="2" t="str">
        <f t="shared" si="3"/>
        <v>OK</v>
      </c>
      <c r="Z29" s="2" t="str">
        <f t="shared" si="4"/>
        <v>OK</v>
      </c>
      <c r="AA29" s="9"/>
      <c r="AB29" s="9"/>
      <c r="AC29" s="2" t="str">
        <f t="shared" si="5"/>
        <v>OK</v>
      </c>
      <c r="AD29" s="9"/>
      <c r="AE29" s="2" t="str">
        <f t="shared" si="6"/>
        <v>OK</v>
      </c>
    </row>
    <row r="30" spans="1:32" ht="24.6" customHeight="1" thickTop="1" thickBot="1" x14ac:dyDescent="0.25">
      <c r="A30" s="39"/>
      <c r="B30" s="40" t="s">
        <v>28</v>
      </c>
      <c r="C30" s="31">
        <v>14</v>
      </c>
      <c r="D30" s="33"/>
      <c r="E30" s="33"/>
      <c r="F30" s="32">
        <f t="shared" si="0"/>
        <v>0</v>
      </c>
      <c r="G30" s="33"/>
      <c r="H30" s="33"/>
      <c r="I30" s="33"/>
      <c r="J30" s="37"/>
      <c r="K30" s="36">
        <f t="shared" si="1"/>
        <v>0</v>
      </c>
      <c r="L30" s="35"/>
      <c r="M30" s="34"/>
      <c r="N30" s="34"/>
      <c r="O30" s="34"/>
      <c r="P30" s="34"/>
      <c r="Q30" s="33"/>
      <c r="R30" s="34"/>
      <c r="S30" s="33"/>
      <c r="T30" s="32">
        <f>S30*1</f>
        <v>0</v>
      </c>
      <c r="U30" s="32">
        <f t="shared" si="7"/>
        <v>0</v>
      </c>
      <c r="V30" s="31">
        <v>14</v>
      </c>
      <c r="W30" s="23"/>
      <c r="X30" s="2" t="str">
        <f t="shared" si="2"/>
        <v>OK</v>
      </c>
      <c r="Y30" s="2" t="str">
        <f t="shared" si="3"/>
        <v>OK</v>
      </c>
      <c r="Z30" s="2" t="str">
        <f t="shared" si="4"/>
        <v>OK</v>
      </c>
      <c r="AA30" s="9"/>
      <c r="AB30" s="9"/>
      <c r="AC30" s="2" t="str">
        <f t="shared" si="5"/>
        <v>OK</v>
      </c>
      <c r="AD30" s="9"/>
      <c r="AE30" s="2" t="str">
        <f t="shared" si="6"/>
        <v>OK</v>
      </c>
    </row>
    <row r="31" spans="1:32" ht="24.6" customHeight="1" thickTop="1" thickBot="1" x14ac:dyDescent="0.25">
      <c r="A31" s="39"/>
      <c r="B31" s="38" t="s">
        <v>26</v>
      </c>
      <c r="C31" s="31">
        <v>15</v>
      </c>
      <c r="D31" s="33"/>
      <c r="E31" s="33"/>
      <c r="F31" s="32">
        <f t="shared" si="0"/>
        <v>0</v>
      </c>
      <c r="G31" s="33"/>
      <c r="H31" s="33"/>
      <c r="I31" s="33"/>
      <c r="J31" s="37"/>
      <c r="K31" s="36">
        <f t="shared" si="1"/>
        <v>0</v>
      </c>
      <c r="L31" s="35"/>
      <c r="M31" s="34"/>
      <c r="N31" s="34"/>
      <c r="O31" s="34"/>
      <c r="P31" s="34"/>
      <c r="Q31" s="33"/>
      <c r="R31" s="34"/>
      <c r="S31" s="33"/>
      <c r="T31" s="32">
        <f>S31*1</f>
        <v>0</v>
      </c>
      <c r="U31" s="32">
        <f t="shared" si="7"/>
        <v>0</v>
      </c>
      <c r="V31" s="31">
        <v>15</v>
      </c>
      <c r="W31" s="23"/>
      <c r="X31" s="2" t="str">
        <f t="shared" si="2"/>
        <v>OK</v>
      </c>
      <c r="Y31" s="2" t="str">
        <f t="shared" si="3"/>
        <v>OK</v>
      </c>
      <c r="Z31" s="2" t="str">
        <f t="shared" si="4"/>
        <v>OK</v>
      </c>
      <c r="AA31" s="9"/>
      <c r="AB31" s="9"/>
      <c r="AC31" s="2" t="str">
        <f t="shared" si="5"/>
        <v>OK</v>
      </c>
      <c r="AD31" s="9"/>
      <c r="AE31" s="2" t="str">
        <f t="shared" si="6"/>
        <v>OK</v>
      </c>
    </row>
    <row r="32" spans="1:32" ht="24.6" customHeight="1" thickTop="1" thickBot="1" x14ac:dyDescent="0.25">
      <c r="A32" s="39"/>
      <c r="B32" s="38" t="s">
        <v>27</v>
      </c>
      <c r="C32" s="31">
        <v>16</v>
      </c>
      <c r="D32" s="33"/>
      <c r="E32" s="33"/>
      <c r="F32" s="32">
        <f t="shared" si="0"/>
        <v>0</v>
      </c>
      <c r="G32" s="33"/>
      <c r="H32" s="33"/>
      <c r="I32" s="33"/>
      <c r="J32" s="37"/>
      <c r="K32" s="36">
        <f t="shared" si="1"/>
        <v>0</v>
      </c>
      <c r="L32" s="35"/>
      <c r="M32" s="34"/>
      <c r="N32" s="34"/>
      <c r="O32" s="34"/>
      <c r="P32" s="34"/>
      <c r="Q32" s="33"/>
      <c r="R32" s="34"/>
      <c r="S32" s="33"/>
      <c r="T32" s="32">
        <f>S32*1.5</f>
        <v>0</v>
      </c>
      <c r="U32" s="32">
        <f t="shared" si="7"/>
        <v>0</v>
      </c>
      <c r="V32" s="31">
        <v>16</v>
      </c>
      <c r="W32" s="23"/>
      <c r="X32" s="2" t="str">
        <f t="shared" si="2"/>
        <v>OK</v>
      </c>
      <c r="Y32" s="2" t="str">
        <f t="shared" si="3"/>
        <v>OK</v>
      </c>
      <c r="Z32" s="2" t="str">
        <f t="shared" si="4"/>
        <v>OK</v>
      </c>
      <c r="AA32" s="9"/>
      <c r="AB32" s="9"/>
      <c r="AC32" s="2" t="str">
        <f t="shared" si="5"/>
        <v>OK</v>
      </c>
      <c r="AD32" s="9"/>
      <c r="AE32" s="2" t="str">
        <f t="shared" si="6"/>
        <v>OK</v>
      </c>
    </row>
    <row r="33" spans="1:32" ht="24.6" customHeight="1" thickTop="1" thickBot="1" x14ac:dyDescent="0.25">
      <c r="A33" s="39"/>
      <c r="B33" s="38" t="s">
        <v>26</v>
      </c>
      <c r="C33" s="31">
        <v>17</v>
      </c>
      <c r="D33" s="33"/>
      <c r="E33" s="33"/>
      <c r="F33" s="32">
        <f t="shared" si="0"/>
        <v>0</v>
      </c>
      <c r="G33" s="33"/>
      <c r="H33" s="33"/>
      <c r="I33" s="33"/>
      <c r="J33" s="37"/>
      <c r="K33" s="36">
        <f t="shared" si="1"/>
        <v>0</v>
      </c>
      <c r="L33" s="35"/>
      <c r="M33" s="34"/>
      <c r="N33" s="34"/>
      <c r="O33" s="34"/>
      <c r="P33" s="34"/>
      <c r="Q33" s="33"/>
      <c r="R33" s="34"/>
      <c r="S33" s="33"/>
      <c r="T33" s="32">
        <f>S33*1.5</f>
        <v>0</v>
      </c>
      <c r="U33" s="32">
        <f t="shared" si="7"/>
        <v>0</v>
      </c>
      <c r="V33" s="31">
        <v>17</v>
      </c>
      <c r="W33" s="23"/>
      <c r="X33" s="2" t="str">
        <f t="shared" si="2"/>
        <v>OK</v>
      </c>
      <c r="Y33" s="2" t="str">
        <f t="shared" si="3"/>
        <v>OK</v>
      </c>
      <c r="Z33" s="2" t="str">
        <f t="shared" si="4"/>
        <v>OK</v>
      </c>
      <c r="AA33" s="9"/>
      <c r="AB33" s="9"/>
      <c r="AC33" s="2" t="str">
        <f t="shared" si="5"/>
        <v>OK</v>
      </c>
      <c r="AD33" s="9"/>
      <c r="AE33" s="2" t="str">
        <f t="shared" si="6"/>
        <v>OK</v>
      </c>
    </row>
    <row r="34" spans="1:32" ht="25.35" customHeight="1" thickTop="1" thickBot="1" x14ac:dyDescent="0.25">
      <c r="A34" s="39"/>
      <c r="B34" s="38">
        <v>3.5</v>
      </c>
      <c r="C34" s="31">
        <v>18</v>
      </c>
      <c r="D34" s="33"/>
      <c r="E34" s="33"/>
      <c r="F34" s="32">
        <f t="shared" si="0"/>
        <v>0</v>
      </c>
      <c r="G34" s="33"/>
      <c r="H34" s="33"/>
      <c r="I34" s="33"/>
      <c r="J34" s="37"/>
      <c r="K34" s="36">
        <f t="shared" si="1"/>
        <v>0</v>
      </c>
      <c r="L34" s="35"/>
      <c r="M34" s="34"/>
      <c r="N34" s="34"/>
      <c r="O34" s="34"/>
      <c r="P34" s="34"/>
      <c r="Q34" s="33"/>
      <c r="R34" s="34"/>
      <c r="S34" s="33"/>
      <c r="T34" s="32">
        <f>S34*3.5</f>
        <v>0</v>
      </c>
      <c r="U34" s="32">
        <f t="shared" si="7"/>
        <v>0</v>
      </c>
      <c r="V34" s="31">
        <v>18</v>
      </c>
      <c r="W34" s="23"/>
      <c r="X34" s="2" t="str">
        <f t="shared" si="2"/>
        <v>OK</v>
      </c>
      <c r="Y34" s="2" t="str">
        <f t="shared" si="3"/>
        <v>OK</v>
      </c>
      <c r="Z34" s="2" t="str">
        <f t="shared" si="4"/>
        <v>OK</v>
      </c>
      <c r="AA34" s="9"/>
      <c r="AB34" s="9"/>
      <c r="AC34" s="2" t="str">
        <f t="shared" si="5"/>
        <v>OK</v>
      </c>
      <c r="AD34" s="9"/>
      <c r="AE34" s="2" t="str">
        <f t="shared" si="6"/>
        <v>OK</v>
      </c>
    </row>
    <row r="35" spans="1:32" ht="7.5" customHeight="1" thickTop="1" x14ac:dyDescent="0.2">
      <c r="A35" s="30"/>
      <c r="B35" s="29"/>
      <c r="C35" s="12"/>
      <c r="D35" s="28"/>
      <c r="E35" s="28"/>
      <c r="F35" s="28"/>
      <c r="G35" s="28"/>
      <c r="H35" s="28"/>
      <c r="I35" s="28"/>
      <c r="J35" s="28"/>
      <c r="K35" s="28"/>
      <c r="L35" s="28"/>
      <c r="M35" s="28"/>
      <c r="N35" s="28"/>
      <c r="O35" s="28"/>
      <c r="P35" s="28"/>
      <c r="Q35" s="28"/>
      <c r="R35" s="28"/>
      <c r="S35" s="28"/>
      <c r="T35" s="28"/>
      <c r="U35" s="28"/>
      <c r="V35" s="12"/>
      <c r="W35" s="24"/>
      <c r="X35" s="24"/>
      <c r="Y35" s="27"/>
      <c r="Z35" s="27"/>
      <c r="AA35" s="9"/>
      <c r="AB35" s="9"/>
      <c r="AC35" s="9"/>
      <c r="AD35" s="9"/>
      <c r="AE35" s="9"/>
      <c r="AF35" s="9"/>
    </row>
    <row r="36" spans="1:32" ht="18.75" customHeight="1" x14ac:dyDescent="0.2">
      <c r="A36"/>
      <c r="B36" s="26" t="str">
        <f>"Version: "&amp;D43</f>
        <v>Version: 2.01.E0</v>
      </c>
      <c r="C36"/>
      <c r="D36"/>
      <c r="E36"/>
      <c r="F36"/>
      <c r="G36"/>
      <c r="H36"/>
      <c r="I36"/>
      <c r="J36"/>
      <c r="K36"/>
      <c r="L36"/>
      <c r="M36"/>
      <c r="N36"/>
      <c r="O36"/>
      <c r="P36"/>
      <c r="Q36"/>
      <c r="R36"/>
      <c r="S36"/>
      <c r="T36"/>
      <c r="U36"/>
      <c r="V36" s="25" t="s">
        <v>25</v>
      </c>
      <c r="W36" s="23"/>
      <c r="X36" s="23"/>
      <c r="Y36" s="24"/>
      <c r="Z36" s="24"/>
      <c r="AA36" s="9"/>
      <c r="AB36" s="9"/>
      <c r="AC36" s="9"/>
      <c r="AD36" s="9"/>
      <c r="AE36" s="9"/>
      <c r="AF36" s="9"/>
    </row>
    <row r="37" spans="1:32" ht="18.75" customHeight="1" x14ac:dyDescent="0.2">
      <c r="A37"/>
      <c r="B37"/>
      <c r="C37"/>
      <c r="D37"/>
      <c r="E37"/>
      <c r="F37"/>
      <c r="G37"/>
      <c r="H37"/>
      <c r="I37"/>
      <c r="J37"/>
      <c r="K37"/>
      <c r="L37"/>
      <c r="M37"/>
      <c r="N37"/>
      <c r="O37"/>
      <c r="P37"/>
      <c r="Q37"/>
      <c r="R37"/>
      <c r="S37"/>
      <c r="T37"/>
      <c r="U37"/>
      <c r="V37" s="9"/>
      <c r="W37" s="23"/>
      <c r="X37" s="23"/>
      <c r="Y37" s="23"/>
      <c r="Z37" s="23"/>
    </row>
    <row r="38" spans="1:32" ht="18.75" customHeight="1" x14ac:dyDescent="0.2">
      <c r="Q38" s="22"/>
      <c r="S38" s="22"/>
      <c r="V38" s="9"/>
    </row>
    <row r="39" spans="1:32" ht="18.75" customHeight="1" x14ac:dyDescent="0.2">
      <c r="Q39" s="22"/>
      <c r="S39" s="22"/>
    </row>
    <row r="40" spans="1:32" ht="18.75" customHeight="1" x14ac:dyDescent="0.2">
      <c r="B40" s="21"/>
      <c r="C40" s="20" t="s">
        <v>24</v>
      </c>
      <c r="D40" s="19" t="str">
        <f>U2</f>
        <v>XXXXXX</v>
      </c>
    </row>
    <row r="41" spans="1:32" ht="18.75" customHeight="1" x14ac:dyDescent="0.2">
      <c r="B41" s="15"/>
      <c r="D41" s="14" t="str">
        <f>U1</f>
        <v>P_CRSABIS_05</v>
      </c>
    </row>
    <row r="42" spans="1:32" ht="18.75" customHeight="1" x14ac:dyDescent="0.2">
      <c r="B42" s="15"/>
      <c r="D42" s="18" t="str">
        <f>U3</f>
        <v>DD.MM.YYYY</v>
      </c>
    </row>
    <row r="43" spans="1:32" ht="18.75" customHeight="1" x14ac:dyDescent="0.2">
      <c r="B43" s="17"/>
      <c r="D43" s="16" t="s">
        <v>23</v>
      </c>
    </row>
    <row r="44" spans="1:32" ht="18.75" customHeight="1" x14ac:dyDescent="0.2">
      <c r="B44" s="15"/>
      <c r="D44" s="14" t="str">
        <f>D13</f>
        <v>col. 01</v>
      </c>
    </row>
    <row r="45" spans="1:32" ht="18.75" customHeight="1" x14ac:dyDescent="0.2">
      <c r="B45" s="13"/>
      <c r="C45" s="12"/>
      <c r="D45" s="11">
        <f>COUNTIF(D49:U54,"ERROR")+COUNTIF(X14:AE35,"ERROR")</f>
        <v>0</v>
      </c>
    </row>
    <row r="46" spans="1:32" ht="20.85" customHeight="1" x14ac:dyDescent="0.2">
      <c r="B46" s="9"/>
      <c r="C46" s="8"/>
      <c r="D46" s="10"/>
    </row>
    <row r="47" spans="1:32" x14ac:dyDescent="0.2">
      <c r="B47" s="9"/>
      <c r="C47" s="8"/>
      <c r="D47" s="7"/>
    </row>
    <row r="48" spans="1:32" x14ac:dyDescent="0.2">
      <c r="D48" s="6" t="s">
        <v>22</v>
      </c>
      <c r="E48" s="6" t="s">
        <v>21</v>
      </c>
      <c r="F48" s="6" t="s">
        <v>20</v>
      </c>
      <c r="G48" s="6" t="s">
        <v>19</v>
      </c>
      <c r="H48" s="6" t="s">
        <v>18</v>
      </c>
      <c r="I48" s="6" t="s">
        <v>17</v>
      </c>
      <c r="J48" s="6" t="s">
        <v>16</v>
      </c>
      <c r="K48" s="6" t="s">
        <v>15</v>
      </c>
      <c r="L48" s="6" t="s">
        <v>14</v>
      </c>
      <c r="M48" s="6" t="s">
        <v>13</v>
      </c>
      <c r="N48" s="6" t="s">
        <v>12</v>
      </c>
      <c r="O48" s="6" t="s">
        <v>11</v>
      </c>
      <c r="P48" s="6" t="s">
        <v>10</v>
      </c>
      <c r="Q48" s="6" t="s">
        <v>9</v>
      </c>
      <c r="R48" s="6" t="s">
        <v>8</v>
      </c>
      <c r="S48" s="6" t="s">
        <v>7</v>
      </c>
      <c r="T48" s="6" t="s">
        <v>6</v>
      </c>
      <c r="U48" s="6" t="s">
        <v>5</v>
      </c>
      <c r="V48"/>
      <c r="W48"/>
    </row>
    <row r="49" spans="2:23" x14ac:dyDescent="0.2">
      <c r="B49" s="4" t="s">
        <v>4</v>
      </c>
      <c r="C49" s="5"/>
      <c r="D49" s="2" t="str">
        <f>IF(ROUND(D17+D16,0)=ROUND(D14,0),"OK","ERROR")</f>
        <v>OK</v>
      </c>
      <c r="E49" s="2" t="str">
        <f>IF(ROUND(E17+E16,0)=ROUND(E14,0),"OK","ERROR")</f>
        <v>OK</v>
      </c>
      <c r="F49" s="2" t="str">
        <f>IF(ROUND(F17+F16,0)=ROUND(F14,0),"OK","ERROR")</f>
        <v>OK</v>
      </c>
      <c r="G49" s="2" t="str">
        <f>IF(ROUND(G17,0)=ROUND(G14,0),"OK","ERROR")</f>
        <v>OK</v>
      </c>
      <c r="H49" s="2" t="str">
        <f>IF(ROUND(H17,0)=ROUND(H14,0),"OK","ERROR")</f>
        <v>OK</v>
      </c>
      <c r="I49" s="2" t="str">
        <f>IF(ROUND(I17,0)=ROUND(I14,0),"OK","ERROR")</f>
        <v>OK</v>
      </c>
      <c r="J49" s="2" t="str">
        <f>IF(ROUND(J17,0)=ROUND(J14,0),"OK","ERROR")</f>
        <v>OK</v>
      </c>
      <c r="K49" s="2" t="str">
        <f>IF(AND(ROUND(K16+K17,0)=ROUND(K14,0),ROUND(K14,0)=ROUND(K19+K20+K21+K23+K24+K26+K28+K32+K34,0)),"OK","ERROR")</f>
        <v>OK</v>
      </c>
      <c r="L49"/>
      <c r="M49"/>
      <c r="N49"/>
      <c r="O49"/>
      <c r="P49"/>
      <c r="Q49" s="2" t="str">
        <f>IF(AND(ROUND(Q17+Q16,0)=ROUND(Q14,0),ROUND(K14+O14+P14,0)=ROUND(Q14,0)),"OK","ERROR")</f>
        <v>OK</v>
      </c>
      <c r="R49"/>
      <c r="S49" s="2" t="str">
        <f>IF(AND(ROUND(S17+S16,0)=ROUND(S14,0),ROUND(Q14+R14,0)=ROUND(S14,0)),"OK","ERROR")</f>
        <v>OK</v>
      </c>
      <c r="T49" s="2" t="str">
        <f>IF(ROUND(T17+T16,0)=ROUND(T14,0),"OK","ERROR")</f>
        <v>OK</v>
      </c>
      <c r="U49" s="2" t="str">
        <f>IF(ROUND(U17+U16,0)=ROUND(U14,0),"OK","ERROR")</f>
        <v>OK</v>
      </c>
      <c r="V49"/>
      <c r="W49"/>
    </row>
    <row r="50" spans="2:23" x14ac:dyDescent="0.2">
      <c r="B50" s="4" t="s">
        <v>3</v>
      </c>
      <c r="C50" s="3"/>
      <c r="D50" s="2" t="str">
        <f>IF(ROUND(D22,0)&lt;=ROUND(D21,0),"OK","ERROR")</f>
        <v>OK</v>
      </c>
      <c r="E50" s="2" t="str">
        <f>IF(ROUND(E22,0)&gt;=ROUND(E21,0),"OK","ERROR")</f>
        <v>OK</v>
      </c>
      <c r="F50" s="2" t="str">
        <f t="shared" ref="F50:K50" si="8">IF(ROUND(F22,0)&lt;=ROUND(F21,0),"OK","ERROR")</f>
        <v>OK</v>
      </c>
      <c r="G50" s="2" t="str">
        <f t="shared" si="8"/>
        <v>OK</v>
      </c>
      <c r="H50" s="2" t="str">
        <f t="shared" si="8"/>
        <v>OK</v>
      </c>
      <c r="I50" s="2" t="str">
        <f t="shared" si="8"/>
        <v>OK</v>
      </c>
      <c r="J50" s="2" t="str">
        <f t="shared" si="8"/>
        <v>OK</v>
      </c>
      <c r="K50" s="2" t="str">
        <f t="shared" si="8"/>
        <v>OK</v>
      </c>
      <c r="L50"/>
      <c r="M50"/>
      <c r="N50"/>
      <c r="O50"/>
      <c r="P50"/>
      <c r="Q50" s="2" t="str">
        <f>IF(ROUND(Q22,0)&lt;=ROUND(Q21,0),"OK","ERROR")</f>
        <v>OK</v>
      </c>
      <c r="R50"/>
      <c r="S50" s="2" t="str">
        <f>IF(ROUND(S22,0)&lt;=ROUND(S21,0),"OK","ERROR")</f>
        <v>OK</v>
      </c>
      <c r="T50" s="2" t="str">
        <f>IF(ROUND(T22,0)&lt;=ROUND(T21,0),"OK","ERROR")</f>
        <v>OK</v>
      </c>
      <c r="U50" s="2" t="str">
        <f>IF(ROUND(U22,0)&lt;=ROUND(U21,0),"OK","ERROR")</f>
        <v>OK</v>
      </c>
      <c r="V50"/>
      <c r="W50"/>
    </row>
    <row r="51" spans="2:23" x14ac:dyDescent="0.2">
      <c r="B51" s="4" t="s">
        <v>2</v>
      </c>
      <c r="C51" s="3"/>
      <c r="D51" s="2" t="str">
        <f>IF(ROUND(D25,0)&lt;=ROUND(D24,0),"OK","ERROR")</f>
        <v>OK</v>
      </c>
      <c r="E51" s="2" t="str">
        <f>IF(ROUND(E25,0)&gt;=ROUND(E24,0),"OK","ERROR")</f>
        <v>OK</v>
      </c>
      <c r="F51" s="2" t="str">
        <f t="shared" ref="F51:K51" si="9">IF(ROUND(F25,0)&lt;=ROUND(F24,0),"OK","ERROR")</f>
        <v>OK</v>
      </c>
      <c r="G51" s="2" t="str">
        <f t="shared" si="9"/>
        <v>OK</v>
      </c>
      <c r="H51" s="2" t="str">
        <f t="shared" si="9"/>
        <v>OK</v>
      </c>
      <c r="I51" s="2" t="str">
        <f t="shared" si="9"/>
        <v>OK</v>
      </c>
      <c r="J51" s="2" t="str">
        <f t="shared" si="9"/>
        <v>OK</v>
      </c>
      <c r="K51" s="2" t="str">
        <f t="shared" si="9"/>
        <v>OK</v>
      </c>
      <c r="L51"/>
      <c r="M51"/>
      <c r="N51"/>
      <c r="O51"/>
      <c r="P51"/>
      <c r="Q51" s="2" t="str">
        <f>IF(ROUND(Q25,0)&lt;=ROUND(Q24,0),"OK","ERROR")</f>
        <v>OK</v>
      </c>
      <c r="R51"/>
      <c r="S51" s="2" t="str">
        <f>IF(ROUND(S25,0)&lt;=ROUND(S24,0),"OK","ERROR")</f>
        <v>OK</v>
      </c>
      <c r="T51" s="2" t="str">
        <f>IF(ROUND(T25,0)&lt;=ROUND(T24,0),"OK","ERROR")</f>
        <v>OK</v>
      </c>
      <c r="U51" s="2" t="str">
        <f>IF(ROUND(U25,0)&lt;=ROUND(U24,0),"OK","ERROR")</f>
        <v>OK</v>
      </c>
      <c r="V51"/>
      <c r="W51"/>
    </row>
    <row r="52" spans="2:23" x14ac:dyDescent="0.2">
      <c r="B52" s="4" t="s">
        <v>1</v>
      </c>
      <c r="C52" s="3"/>
      <c r="D52" s="2" t="str">
        <f>IF(ROUND(D27,0)&lt;=ROUND(D26,0),"OK","ERROR")</f>
        <v>OK</v>
      </c>
      <c r="E52" s="2" t="str">
        <f>IF(ROUND(E27,0)&gt;=ROUND(E26,0),"OK","ERROR")</f>
        <v>OK</v>
      </c>
      <c r="F52" s="2" t="str">
        <f t="shared" ref="F52:K52" si="10">IF(ROUND(F27,0)&lt;=ROUND(F26,0),"OK","ERROR")</f>
        <v>OK</v>
      </c>
      <c r="G52" s="2" t="str">
        <f t="shared" si="10"/>
        <v>OK</v>
      </c>
      <c r="H52" s="2" t="str">
        <f t="shared" si="10"/>
        <v>OK</v>
      </c>
      <c r="I52" s="2" t="str">
        <f t="shared" si="10"/>
        <v>OK</v>
      </c>
      <c r="J52" s="2" t="str">
        <f t="shared" si="10"/>
        <v>OK</v>
      </c>
      <c r="K52" s="2" t="str">
        <f t="shared" si="10"/>
        <v>OK</v>
      </c>
      <c r="L52"/>
      <c r="M52"/>
      <c r="N52"/>
      <c r="O52"/>
      <c r="P52"/>
      <c r="Q52" s="2" t="str">
        <f>IF(ROUND(Q27,0)&lt;=ROUND(Q26,0),"OK","ERROR")</f>
        <v>OK</v>
      </c>
      <c r="R52"/>
      <c r="S52" s="2" t="str">
        <f>IF(ROUND(S27,0)&lt;=ROUND(S26,0),"OK","ERROR")</f>
        <v>OK</v>
      </c>
      <c r="T52" s="2" t="str">
        <f>IF(ROUND(T27,0)&lt;=ROUND(T26,0),"OK","ERROR")</f>
        <v>OK</v>
      </c>
      <c r="U52" s="2" t="str">
        <f>IF(ROUND(U27,0)&lt;=ROUND(U26,0),"OK","ERROR")</f>
        <v>OK</v>
      </c>
      <c r="V52"/>
      <c r="W52"/>
    </row>
    <row r="53" spans="2:23" x14ac:dyDescent="0.2">
      <c r="B53"/>
      <c r="C53"/>
      <c r="D53"/>
      <c r="E53"/>
      <c r="F53"/>
      <c r="G53"/>
      <c r="H53"/>
      <c r="I53"/>
      <c r="J53"/>
      <c r="K53"/>
      <c r="L53"/>
      <c r="M53"/>
      <c r="N53"/>
      <c r="O53"/>
      <c r="P53"/>
      <c r="Q53"/>
      <c r="R53"/>
      <c r="S53"/>
      <c r="T53"/>
      <c r="U53"/>
      <c r="V53"/>
      <c r="W53"/>
    </row>
    <row r="54" spans="2:23" x14ac:dyDescent="0.2">
      <c r="B54" s="4" t="s">
        <v>0</v>
      </c>
      <c r="C54" s="3"/>
      <c r="D54" s="2" t="str">
        <f>IF(ROUND(D33,0)&lt;=ROUND(D32,0),"OK","ERROR")</f>
        <v>OK</v>
      </c>
      <c r="E54" s="2" t="str">
        <f>IF(ROUND(E33,0)&gt;=ROUND(E32,0),"OK","ERROR")</f>
        <v>OK</v>
      </c>
      <c r="F54" s="2" t="str">
        <f t="shared" ref="F54:K54" si="11">IF(ROUND(F33,0)&lt;=ROUND(F32,0),"OK","ERROR")</f>
        <v>OK</v>
      </c>
      <c r="G54" s="2" t="str">
        <f t="shared" si="11"/>
        <v>OK</v>
      </c>
      <c r="H54" s="2" t="str">
        <f t="shared" si="11"/>
        <v>OK</v>
      </c>
      <c r="I54" s="2" t="str">
        <f t="shared" si="11"/>
        <v>OK</v>
      </c>
      <c r="J54" s="2" t="str">
        <f t="shared" si="11"/>
        <v>OK</v>
      </c>
      <c r="K54" s="2" t="str">
        <f t="shared" si="11"/>
        <v>OK</v>
      </c>
      <c r="L54"/>
      <c r="M54"/>
      <c r="N54"/>
      <c r="O54"/>
      <c r="P54"/>
      <c r="Q54" s="2" t="str">
        <f>IF(ROUND(Q33,0)&lt;=ROUND(Q32,0),"OK","ERROR")</f>
        <v>OK</v>
      </c>
      <c r="R54"/>
      <c r="S54" s="2" t="str">
        <f>IF(ROUND(S33,0)&lt;=ROUND(S32,0),"OK","ERROR")</f>
        <v>OK</v>
      </c>
      <c r="T54" s="2" t="str">
        <f>IF(ROUND(T33,0)&lt;=ROUND(T32,0),"OK","ERROR")</f>
        <v>OK</v>
      </c>
      <c r="U54" s="2" t="str">
        <f>IF(ROUND(U33,0)&lt;=ROUND(U32,0),"OK","ERROR")</f>
        <v>OK</v>
      </c>
      <c r="V54"/>
      <c r="W54"/>
    </row>
    <row r="55" spans="2:23" x14ac:dyDescent="0.2">
      <c r="V55"/>
      <c r="W55"/>
    </row>
  </sheetData>
  <mergeCells count="1">
    <mergeCell ref="U8:U12"/>
  </mergeCells>
  <conditionalFormatting sqref="D25">
    <cfRule type="cellIs" dxfId="7" priority="1" stopIfTrue="1" operator="equal">
      <formula>$D$49="ERROR"</formula>
    </cfRule>
  </conditionalFormatting>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colBreaks count="1" manualBreakCount="1">
    <brk id="11" max="34"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tabColor rgb="FFFF0000"/>
  </sheetPr>
  <dimension ref="A1:AF55"/>
  <sheetViews>
    <sheetView workbookViewId="0"/>
  </sheetViews>
  <sheetFormatPr defaultColWidth="11.42578125" defaultRowHeight="12.75" x14ac:dyDescent="0.2"/>
  <cols>
    <col min="1" max="1" width="8.42578125" style="1" customWidth="1"/>
    <col min="2" max="2" width="39.42578125" style="1" customWidth="1"/>
    <col min="3" max="3" width="4.5703125" style="1" customWidth="1"/>
    <col min="4" max="6" width="20.42578125" style="1" customWidth="1"/>
    <col min="7" max="7" width="15.5703125" style="1" customWidth="1"/>
    <col min="8" max="8" width="16.42578125" style="1" customWidth="1"/>
    <col min="9" max="9" width="15.5703125" style="1" customWidth="1"/>
    <col min="10" max="10" width="17.5703125" style="1" customWidth="1"/>
    <col min="11" max="11" width="24.5703125" style="1" customWidth="1"/>
    <col min="12" max="16" width="17.5703125" style="1" customWidth="1"/>
    <col min="17" max="20" width="20.42578125" style="1" customWidth="1"/>
    <col min="21" max="21" width="24.5703125" style="1" customWidth="1"/>
    <col min="22" max="22" width="4.5703125" style="1" customWidth="1"/>
    <col min="23" max="25" width="11.42578125" style="1" customWidth="1"/>
    <col min="26" max="26" width="21.5703125" style="1" customWidth="1"/>
    <col min="27" max="30" width="11.42578125" style="1" customWidth="1"/>
    <col min="31" max="31" width="21.5703125" style="1" customWidth="1"/>
    <col min="32" max="16384" width="11.42578125" style="1"/>
  </cols>
  <sheetData>
    <row r="1" spans="1:31" ht="25.35" customHeight="1" x14ac:dyDescent="0.25">
      <c r="A1" s="9"/>
      <c r="B1" s="9"/>
      <c r="C1" s="9"/>
      <c r="E1" s="78" t="s">
        <v>101</v>
      </c>
      <c r="G1" s="41"/>
      <c r="H1" s="41"/>
      <c r="I1" s="41"/>
      <c r="J1" s="101" t="s">
        <v>100</v>
      </c>
      <c r="K1" s="105" t="s">
        <v>112</v>
      </c>
      <c r="L1" s="41"/>
      <c r="M1" s="78" t="s">
        <v>101</v>
      </c>
      <c r="N1" s="41"/>
      <c r="O1" s="41"/>
      <c r="P1" s="41"/>
      <c r="Q1" s="41"/>
      <c r="R1" s="41"/>
      <c r="S1" s="41"/>
      <c r="T1" s="101" t="s">
        <v>100</v>
      </c>
      <c r="U1" s="105" t="str">
        <f>K1</f>
        <v>P_CRSABIS_06</v>
      </c>
      <c r="V1" s="41"/>
    </row>
    <row r="2" spans="1:31" ht="25.35" customHeight="1" x14ac:dyDescent="0.25">
      <c r="A2" s="9"/>
      <c r="B2" s="41"/>
      <c r="C2" s="9"/>
      <c r="E2" s="104" t="s">
        <v>99</v>
      </c>
      <c r="G2" s="41"/>
      <c r="H2" s="41"/>
      <c r="I2"/>
      <c r="J2" s="101" t="s">
        <v>98</v>
      </c>
      <c r="K2" s="103" t="s">
        <v>119</v>
      </c>
      <c r="L2" s="41"/>
      <c r="M2" s="104" t="s">
        <v>99</v>
      </c>
      <c r="N2" s="9"/>
      <c r="O2" s="41"/>
      <c r="P2" s="41"/>
      <c r="Q2" s="41"/>
      <c r="R2" s="41"/>
      <c r="S2" s="41"/>
      <c r="T2" s="101" t="s">
        <v>98</v>
      </c>
      <c r="U2" s="103" t="str">
        <f>K2</f>
        <v>XXXXXX</v>
      </c>
      <c r="V2" s="41"/>
    </row>
    <row r="3" spans="1:31" ht="25.35" customHeight="1" x14ac:dyDescent="0.25">
      <c r="A3" s="9"/>
      <c r="B3" s="41"/>
      <c r="C3" s="9"/>
      <c r="E3" s="102" t="s">
        <v>97</v>
      </c>
      <c r="G3" s="41"/>
      <c r="I3"/>
      <c r="J3" s="101" t="s">
        <v>96</v>
      </c>
      <c r="K3" s="100" t="s">
        <v>121</v>
      </c>
      <c r="L3" s="41"/>
      <c r="M3" s="102" t="s">
        <v>97</v>
      </c>
      <c r="N3" s="9"/>
      <c r="O3" s="41"/>
      <c r="P3" s="41"/>
      <c r="Q3" s="41"/>
      <c r="R3" s="41"/>
      <c r="S3" s="41"/>
      <c r="T3" s="101" t="s">
        <v>96</v>
      </c>
      <c r="U3" s="100" t="str">
        <f>K3</f>
        <v>DD.MM.YYYY</v>
      </c>
      <c r="V3" s="41"/>
    </row>
    <row r="4" spans="1:31" ht="25.35" customHeight="1" x14ac:dyDescent="0.25">
      <c r="A4" s="9"/>
      <c r="B4" s="41"/>
      <c r="C4" s="9"/>
      <c r="E4" s="97" t="s">
        <v>111</v>
      </c>
      <c r="H4" s="41"/>
      <c r="I4"/>
      <c r="J4" s="99"/>
      <c r="K4" s="98"/>
      <c r="L4" s="41"/>
      <c r="M4" s="97" t="s">
        <v>111</v>
      </c>
      <c r="N4" s="41"/>
      <c r="O4" s="41"/>
      <c r="P4" s="41"/>
      <c r="Q4" s="41"/>
      <c r="R4" s="41"/>
      <c r="S4" s="41"/>
      <c r="T4" s="41"/>
      <c r="U4" s="41"/>
      <c r="V4" s="41"/>
    </row>
    <row r="5" spans="1:31" ht="25.35" customHeight="1" x14ac:dyDescent="0.2">
      <c r="A5" s="9"/>
      <c r="B5" s="41"/>
      <c r="C5" s="9"/>
      <c r="E5" s="1" t="s">
        <v>94</v>
      </c>
      <c r="F5" s="41"/>
      <c r="G5" s="41"/>
      <c r="H5" s="41"/>
      <c r="I5" s="41"/>
      <c r="J5" s="41"/>
      <c r="K5" s="41"/>
      <c r="L5" s="41"/>
      <c r="M5" s="1" t="s">
        <v>94</v>
      </c>
      <c r="N5" s="41"/>
      <c r="O5" s="41"/>
      <c r="P5" s="41"/>
      <c r="Q5" s="41"/>
      <c r="R5" s="41"/>
      <c r="S5" s="41"/>
      <c r="T5" s="41"/>
      <c r="U5" s="41"/>
      <c r="V5" s="41"/>
    </row>
    <row r="6" spans="1:31" ht="25.35" customHeight="1" x14ac:dyDescent="0.2">
      <c r="A6" s="9"/>
      <c r="B6" s="41"/>
      <c r="C6" s="9"/>
      <c r="D6" s="9"/>
    </row>
    <row r="7" spans="1:31" ht="25.35" customHeight="1" x14ac:dyDescent="0.2">
      <c r="A7" s="12"/>
      <c r="B7" s="41"/>
      <c r="C7" s="12"/>
      <c r="D7" s="12"/>
      <c r="F7" s="41"/>
      <c r="G7" s="41"/>
      <c r="H7" s="41"/>
      <c r="I7" s="41"/>
      <c r="J7" s="60"/>
      <c r="K7" s="60"/>
      <c r="L7" s="41"/>
      <c r="N7" s="60"/>
      <c r="O7" s="41"/>
      <c r="P7" s="41"/>
      <c r="Q7" s="41"/>
      <c r="R7" s="41"/>
      <c r="S7" s="41"/>
      <c r="T7" s="41"/>
      <c r="U7" s="41"/>
      <c r="V7" s="60"/>
    </row>
    <row r="8" spans="1:31" ht="17.850000000000001" customHeight="1" x14ac:dyDescent="0.25">
      <c r="A8" s="96"/>
      <c r="B8" s="95"/>
      <c r="C8" s="88"/>
      <c r="D8" s="94" t="s">
        <v>93</v>
      </c>
      <c r="E8" s="94" t="s">
        <v>92</v>
      </c>
      <c r="F8" s="93" t="s">
        <v>90</v>
      </c>
      <c r="G8" s="81" t="s">
        <v>91</v>
      </c>
      <c r="H8" s="82"/>
      <c r="I8" s="82"/>
      <c r="J8" s="92"/>
      <c r="K8" s="80" t="s">
        <v>90</v>
      </c>
      <c r="L8" s="82" t="s">
        <v>89</v>
      </c>
      <c r="M8" s="91"/>
      <c r="N8" s="91"/>
      <c r="O8" s="91"/>
      <c r="P8" s="80"/>
      <c r="Q8" s="90" t="s">
        <v>88</v>
      </c>
      <c r="R8" s="90" t="s">
        <v>87</v>
      </c>
      <c r="S8" s="90" t="s">
        <v>86</v>
      </c>
      <c r="T8" s="89" t="s">
        <v>85</v>
      </c>
      <c r="U8" s="1676" t="s">
        <v>84</v>
      </c>
      <c r="V8" s="88"/>
      <c r="W8" s="71"/>
      <c r="X8" s="71"/>
      <c r="Y8" s="9"/>
      <c r="Z8" s="9"/>
    </row>
    <row r="9" spans="1:31" ht="17.850000000000001" customHeight="1" x14ac:dyDescent="0.25">
      <c r="A9" s="79"/>
      <c r="B9" s="78"/>
      <c r="C9" s="62"/>
      <c r="D9" s="77" t="s">
        <v>83</v>
      </c>
      <c r="E9" s="77" t="s">
        <v>82</v>
      </c>
      <c r="F9" s="70" t="s">
        <v>80</v>
      </c>
      <c r="G9" s="85" t="s">
        <v>81</v>
      </c>
      <c r="H9" s="87"/>
      <c r="I9" s="87"/>
      <c r="J9" s="66"/>
      <c r="K9" s="66" t="s">
        <v>80</v>
      </c>
      <c r="L9" s="86"/>
      <c r="M9" s="86"/>
      <c r="N9" s="86"/>
      <c r="O9" s="75"/>
      <c r="P9" s="72"/>
      <c r="Q9" s="63" t="s">
        <v>79</v>
      </c>
      <c r="R9" s="63" t="s">
        <v>78</v>
      </c>
      <c r="S9" s="63" t="s">
        <v>77</v>
      </c>
      <c r="T9" s="77" t="s">
        <v>76</v>
      </c>
      <c r="U9" s="1677"/>
      <c r="V9" s="62"/>
      <c r="W9" s="71"/>
      <c r="X9" s="71"/>
      <c r="Y9" s="9"/>
      <c r="Z9" s="9"/>
    </row>
    <row r="10" spans="1:31" ht="17.850000000000001" customHeight="1" x14ac:dyDescent="0.25">
      <c r="A10" s="79"/>
      <c r="B10" s="78"/>
      <c r="C10" s="62"/>
      <c r="D10" s="77" t="s">
        <v>75</v>
      </c>
      <c r="E10" s="77" t="s">
        <v>74</v>
      </c>
      <c r="F10" s="70" t="s">
        <v>73</v>
      </c>
      <c r="G10" s="85"/>
      <c r="H10" s="84"/>
      <c r="I10" s="84"/>
      <c r="J10" s="83"/>
      <c r="K10" s="66" t="s">
        <v>72</v>
      </c>
      <c r="L10" s="82" t="s">
        <v>71</v>
      </c>
      <c r="M10" s="80"/>
      <c r="N10" s="66" t="s">
        <v>70</v>
      </c>
      <c r="O10" s="81" t="s">
        <v>69</v>
      </c>
      <c r="P10" s="80"/>
      <c r="Q10" s="63" t="s">
        <v>68</v>
      </c>
      <c r="R10" s="63" t="s">
        <v>67</v>
      </c>
      <c r="S10" s="63" t="s">
        <v>66</v>
      </c>
      <c r="T10" s="63"/>
      <c r="U10" s="1677"/>
      <c r="V10" s="62"/>
      <c r="W10" s="71"/>
      <c r="X10" s="71"/>
      <c r="Y10" s="9"/>
      <c r="Z10" s="9"/>
    </row>
    <row r="11" spans="1:31" ht="17.850000000000001" customHeight="1" x14ac:dyDescent="0.25">
      <c r="A11" s="79"/>
      <c r="B11" s="78"/>
      <c r="C11" s="62"/>
      <c r="D11" s="77"/>
      <c r="E11" s="77" t="s">
        <v>65</v>
      </c>
      <c r="F11" s="70" t="s">
        <v>64</v>
      </c>
      <c r="G11" s="76"/>
      <c r="H11" s="75"/>
      <c r="I11" s="74"/>
      <c r="J11" s="72"/>
      <c r="K11" s="66" t="s">
        <v>63</v>
      </c>
      <c r="L11" s="74" t="s">
        <v>62</v>
      </c>
      <c r="M11" s="72"/>
      <c r="N11" s="72" t="s">
        <v>61</v>
      </c>
      <c r="O11" s="73" t="s">
        <v>60</v>
      </c>
      <c r="P11" s="72"/>
      <c r="Q11" s="63" t="s">
        <v>59</v>
      </c>
      <c r="R11" s="63" t="s">
        <v>58</v>
      </c>
      <c r="T11" s="63"/>
      <c r="U11" s="1677"/>
      <c r="V11" s="62"/>
      <c r="W11" s="71"/>
      <c r="X11" s="71"/>
      <c r="Y11" s="9"/>
      <c r="Z11" s="9"/>
    </row>
    <row r="12" spans="1:31" ht="85.35" customHeight="1" x14ac:dyDescent="0.2">
      <c r="A12" s="9"/>
      <c r="B12" s="9"/>
      <c r="C12" s="62"/>
      <c r="D12" s="63"/>
      <c r="E12" s="63" t="s">
        <v>57</v>
      </c>
      <c r="F12" s="70" t="s">
        <v>56</v>
      </c>
      <c r="G12" s="69" t="s">
        <v>34</v>
      </c>
      <c r="H12" s="67">
        <v>0.2</v>
      </c>
      <c r="I12" s="68">
        <v>0.5</v>
      </c>
      <c r="J12" s="67">
        <v>1</v>
      </c>
      <c r="K12" s="66" t="s">
        <v>55</v>
      </c>
      <c r="L12" s="65" t="s">
        <v>54</v>
      </c>
      <c r="M12" s="64" t="s">
        <v>53</v>
      </c>
      <c r="N12" s="64" t="s">
        <v>52</v>
      </c>
      <c r="O12" s="63" t="s">
        <v>51</v>
      </c>
      <c r="P12" s="63" t="s">
        <v>50</v>
      </c>
      <c r="Q12" s="63" t="s">
        <v>49</v>
      </c>
      <c r="R12" s="63" t="s">
        <v>48</v>
      </c>
      <c r="S12" s="63"/>
      <c r="T12" s="63"/>
      <c r="U12" s="1677"/>
      <c r="V12" s="62"/>
      <c r="W12" s="61"/>
      <c r="X12" s="61"/>
      <c r="Y12" s="61"/>
      <c r="Z12" s="61"/>
    </row>
    <row r="13" spans="1:31" ht="25.35" customHeight="1" x14ac:dyDescent="0.2">
      <c r="A13" s="41"/>
      <c r="B13" s="60"/>
      <c r="C13" s="58"/>
      <c r="D13" s="59" t="s">
        <v>22</v>
      </c>
      <c r="E13" s="59" t="s">
        <v>21</v>
      </c>
      <c r="F13" s="59" t="s">
        <v>20</v>
      </c>
      <c r="G13" s="59" t="s">
        <v>19</v>
      </c>
      <c r="H13" s="59" t="s">
        <v>18</v>
      </c>
      <c r="I13" s="59" t="s">
        <v>17</v>
      </c>
      <c r="J13" s="59" t="s">
        <v>16</v>
      </c>
      <c r="K13" s="59" t="s">
        <v>15</v>
      </c>
      <c r="L13" s="59" t="s">
        <v>14</v>
      </c>
      <c r="M13" s="59" t="s">
        <v>13</v>
      </c>
      <c r="N13" s="59" t="s">
        <v>12</v>
      </c>
      <c r="O13" s="59" t="s">
        <v>11</v>
      </c>
      <c r="P13" s="59" t="s">
        <v>10</v>
      </c>
      <c r="Q13" s="59" t="s">
        <v>9</v>
      </c>
      <c r="R13" s="59" t="s">
        <v>8</v>
      </c>
      <c r="S13" s="59" t="s">
        <v>7</v>
      </c>
      <c r="T13" s="59" t="s">
        <v>6</v>
      </c>
      <c r="U13" s="59" t="s">
        <v>5</v>
      </c>
      <c r="V13" s="58"/>
      <c r="X13" s="9" t="s">
        <v>47</v>
      </c>
      <c r="Y13" s="9" t="s">
        <v>46</v>
      </c>
      <c r="Z13" s="9" t="s">
        <v>45</v>
      </c>
      <c r="AA13" s="9" t="s">
        <v>44</v>
      </c>
      <c r="AB13" s="9" t="s">
        <v>43</v>
      </c>
      <c r="AC13" s="9" t="s">
        <v>42</v>
      </c>
      <c r="AD13" s="9" t="s">
        <v>41</v>
      </c>
      <c r="AE13" s="9" t="s">
        <v>40</v>
      </c>
    </row>
    <row r="14" spans="1:31" ht="25.35" customHeight="1" thickBot="1" x14ac:dyDescent="0.25">
      <c r="A14" s="57"/>
      <c r="B14" s="56" t="s">
        <v>39</v>
      </c>
      <c r="C14" s="31">
        <v>1</v>
      </c>
      <c r="D14" s="32">
        <f>SUM(D19:D21,D23:D24,D26,D28,D32,D34)</f>
        <v>0</v>
      </c>
      <c r="E14" s="32">
        <f>SUM(E19:E21,E23:E24,E26,E28,E32,E34)</f>
        <v>0</v>
      </c>
      <c r="F14" s="32">
        <f>D14+E14</f>
        <v>0</v>
      </c>
      <c r="G14" s="32">
        <f>SUM(G19:G21,G23:G24,G26,G28,G32,G34)</f>
        <v>0</v>
      </c>
      <c r="H14" s="32">
        <f>SUM(H19:H21,H23:H24,H26,H28,H32,H34)</f>
        <v>0</v>
      </c>
      <c r="I14" s="32">
        <f>SUM(I19:I21,I23:I24,I26,I28,I32,I34)</f>
        <v>0</v>
      </c>
      <c r="J14" s="32">
        <f>SUM(J19:J21,J23:J24,J26,J28,J32,J34)</f>
        <v>0</v>
      </c>
      <c r="K14" s="55">
        <f>F14-G14-0.8*H14-0.5*I14</f>
        <v>0</v>
      </c>
      <c r="L14" s="54"/>
      <c r="M14" s="33"/>
      <c r="N14" s="37"/>
      <c r="O14" s="32">
        <f>(L14+M14+N14)*-1</f>
        <v>0</v>
      </c>
      <c r="P14" s="33"/>
      <c r="Q14" s="32">
        <f>SUM(Q19:Q21,Q23:Q24,Q26,Q28,Q32,Q34)</f>
        <v>0</v>
      </c>
      <c r="R14" s="33"/>
      <c r="S14" s="32">
        <f>SUM(S19:S21,S23:S24,S26,S28,S32,S34)</f>
        <v>0</v>
      </c>
      <c r="T14" s="32">
        <f>SUM(T19:T21,T23:T24,T26,T28,T32,T34)</f>
        <v>0</v>
      </c>
      <c r="U14" s="32">
        <f>T14*0.08</f>
        <v>0</v>
      </c>
      <c r="V14" s="31">
        <v>1</v>
      </c>
      <c r="W14" s="23"/>
      <c r="X14" s="53" t="str">
        <f>IF(D14&gt;=0,"OK","ERROR")</f>
        <v>OK</v>
      </c>
      <c r="Y14" s="53" t="str">
        <f>IF(E14&lt;=0,"OK","ERROR")</f>
        <v>OK</v>
      </c>
      <c r="Z14" s="53" t="str">
        <f>IF(MIN(F14:N14)&gt;=0,"OK","ERROR")</f>
        <v>OK</v>
      </c>
      <c r="AA14" s="53" t="str">
        <f>IF(O14&lt;=0,"OK","ERROR")</f>
        <v>OK</v>
      </c>
      <c r="AB14" s="53" t="str">
        <f>IF(P14&gt;=0,"OK","ERROR")</f>
        <v>OK</v>
      </c>
      <c r="AC14" s="53" t="str">
        <f>IF(Q14&gt;=0,"OK","ERROR")</f>
        <v>OK</v>
      </c>
      <c r="AD14" s="53" t="str">
        <f>IF(R14&lt;=0,"OK","ERROR")</f>
        <v>OK</v>
      </c>
      <c r="AE14" s="53" t="str">
        <f>IF(MIN(S14:U14)&gt;=0,"OK","ERROR")</f>
        <v>OK</v>
      </c>
    </row>
    <row r="15" spans="1:31" ht="37.5" customHeight="1" thickTop="1" x14ac:dyDescent="0.2">
      <c r="A15" s="39"/>
      <c r="B15" s="47" t="s">
        <v>38</v>
      </c>
      <c r="C15" s="31"/>
      <c r="D15" s="46"/>
      <c r="E15" s="46"/>
      <c r="F15" s="46"/>
      <c r="G15" s="46"/>
      <c r="H15" s="46"/>
      <c r="I15" s="46"/>
      <c r="J15" s="46"/>
      <c r="K15" s="46"/>
      <c r="L15" s="46"/>
      <c r="M15" s="46"/>
      <c r="N15" s="46"/>
      <c r="O15" s="46"/>
      <c r="P15" s="46"/>
      <c r="Q15" s="46"/>
      <c r="R15" s="46"/>
      <c r="S15" s="46"/>
      <c r="T15" s="46"/>
      <c r="U15" s="46"/>
      <c r="V15" s="31"/>
      <c r="W15" s="45"/>
      <c r="X15" s="52"/>
      <c r="Y15" s="52"/>
      <c r="Z15" s="52"/>
      <c r="AA15" s="9"/>
      <c r="AB15" s="51"/>
      <c r="AC15" s="9"/>
      <c r="AD15" s="9"/>
      <c r="AE15" s="50"/>
    </row>
    <row r="16" spans="1:31" ht="25.35" customHeight="1" thickBot="1" x14ac:dyDescent="0.25">
      <c r="A16" s="39"/>
      <c r="B16" s="48" t="s">
        <v>37</v>
      </c>
      <c r="C16" s="31">
        <v>2</v>
      </c>
      <c r="D16" s="33"/>
      <c r="E16" s="33"/>
      <c r="F16" s="32">
        <f>D16+E16</f>
        <v>0</v>
      </c>
      <c r="G16" s="34"/>
      <c r="H16" s="34"/>
      <c r="I16" s="34"/>
      <c r="J16" s="49"/>
      <c r="K16" s="36">
        <f>F16</f>
        <v>0</v>
      </c>
      <c r="L16" s="35"/>
      <c r="M16" s="34"/>
      <c r="N16" s="34"/>
      <c r="O16" s="34"/>
      <c r="P16" s="34"/>
      <c r="Q16" s="33"/>
      <c r="R16" s="34"/>
      <c r="S16" s="33"/>
      <c r="T16" s="33"/>
      <c r="U16" s="32">
        <f>T16*0.08</f>
        <v>0</v>
      </c>
      <c r="V16" s="31">
        <v>2</v>
      </c>
      <c r="W16" s="23"/>
      <c r="X16" s="2" t="str">
        <f>IF(D16&gt;=0,"OK","ERROR")</f>
        <v>OK</v>
      </c>
      <c r="Y16" s="2" t="str">
        <f>IF(E16&lt;=0,"OK","ERROR")</f>
        <v>OK</v>
      </c>
      <c r="Z16" s="2" t="str">
        <f>IF(MIN(F16:N16)&gt;=0,"OK","ERROR")</f>
        <v>OK</v>
      </c>
      <c r="AA16" s="9"/>
      <c r="AB16" s="9"/>
      <c r="AC16" s="2" t="str">
        <f>IF(Q16&gt;=0,"OK","ERROR")</f>
        <v>OK</v>
      </c>
      <c r="AD16" s="9"/>
      <c r="AE16" s="2" t="str">
        <f>IF(MIN(S16:U16)&gt;=0,"OK","ERROR")</f>
        <v>OK</v>
      </c>
    </row>
    <row r="17" spans="1:32" ht="25.35" customHeight="1" thickTop="1" thickBot="1" x14ac:dyDescent="0.25">
      <c r="A17" s="39"/>
      <c r="B17" s="48" t="s">
        <v>36</v>
      </c>
      <c r="C17" s="31">
        <v>3</v>
      </c>
      <c r="D17" s="33"/>
      <c r="E17" s="33"/>
      <c r="F17" s="32">
        <f>D17+E17</f>
        <v>0</v>
      </c>
      <c r="G17" s="33"/>
      <c r="H17" s="33"/>
      <c r="I17" s="33"/>
      <c r="J17" s="37"/>
      <c r="K17" s="36">
        <f>F17-G17-0.8*H17-0.5*I17</f>
        <v>0</v>
      </c>
      <c r="L17" s="35"/>
      <c r="M17" s="34"/>
      <c r="N17" s="34"/>
      <c r="O17" s="34"/>
      <c r="P17" s="34"/>
      <c r="Q17" s="33"/>
      <c r="R17" s="34"/>
      <c r="S17" s="33"/>
      <c r="T17" s="33"/>
      <c r="U17" s="32">
        <f>T17*0.08</f>
        <v>0</v>
      </c>
      <c r="V17" s="31">
        <v>3</v>
      </c>
      <c r="W17" s="23"/>
      <c r="X17" s="2" t="str">
        <f>IF(D17&gt;=0,"OK","ERROR")</f>
        <v>OK</v>
      </c>
      <c r="Y17" s="2" t="str">
        <f>IF(E17&lt;=0,"OK","ERROR")</f>
        <v>OK</v>
      </c>
      <c r="Z17" s="2" t="str">
        <f>IF(MIN(F17:N17)&gt;=0,"OK","ERROR")</f>
        <v>OK</v>
      </c>
      <c r="AA17" s="9"/>
      <c r="AB17" s="9"/>
      <c r="AC17" s="2" t="str">
        <f>IF(Q17&gt;=0,"OK","ERROR")</f>
        <v>OK</v>
      </c>
      <c r="AD17" s="9"/>
      <c r="AE17" s="2" t="str">
        <f>IF(MIN(S17:U17)&gt;=0,"OK","ERROR")</f>
        <v>OK</v>
      </c>
    </row>
    <row r="18" spans="1:32" ht="55.35" customHeight="1" thickTop="1" x14ac:dyDescent="0.2">
      <c r="A18" s="39"/>
      <c r="B18" s="47" t="s">
        <v>35</v>
      </c>
      <c r="C18" s="31"/>
      <c r="D18" s="46"/>
      <c r="E18" s="46"/>
      <c r="F18" s="46"/>
      <c r="G18" s="46"/>
      <c r="H18" s="46"/>
      <c r="I18" s="46"/>
      <c r="J18" s="46"/>
      <c r="K18" s="46"/>
      <c r="L18" s="46"/>
      <c r="M18" s="46"/>
      <c r="N18" s="46"/>
      <c r="O18" s="46"/>
      <c r="P18" s="46"/>
      <c r="Q18" s="46"/>
      <c r="R18" s="46"/>
      <c r="S18" s="46"/>
      <c r="T18" s="46"/>
      <c r="U18" s="46"/>
      <c r="V18" s="31"/>
      <c r="W18" s="45"/>
      <c r="X18" s="24"/>
      <c r="Y18" s="27"/>
      <c r="Z18" s="44"/>
      <c r="AA18" s="9"/>
      <c r="AB18" s="9"/>
      <c r="AC18" s="9"/>
      <c r="AD18" s="9"/>
      <c r="AE18" s="9"/>
      <c r="AF18" s="9"/>
    </row>
    <row r="19" spans="1:32" ht="25.35" customHeight="1" thickBot="1" x14ac:dyDescent="0.25">
      <c r="A19" s="39"/>
      <c r="B19" s="43" t="s">
        <v>34</v>
      </c>
      <c r="C19" s="31">
        <v>4</v>
      </c>
      <c r="D19" s="33"/>
      <c r="E19" s="33"/>
      <c r="F19" s="32">
        <f t="shared" ref="F19:F34" si="0">D19+E19</f>
        <v>0</v>
      </c>
      <c r="G19" s="33"/>
      <c r="H19" s="33"/>
      <c r="I19" s="33"/>
      <c r="J19" s="37"/>
      <c r="K19" s="36">
        <f t="shared" ref="K19:K34" si="1">F19-G19-0.8*H19-0.5*I19</f>
        <v>0</v>
      </c>
      <c r="L19" s="35"/>
      <c r="M19" s="34"/>
      <c r="N19" s="34"/>
      <c r="O19" s="34"/>
      <c r="P19" s="34"/>
      <c r="Q19" s="33"/>
      <c r="R19" s="34"/>
      <c r="S19" s="33"/>
      <c r="T19" s="34"/>
      <c r="U19" s="34"/>
      <c r="V19" s="31">
        <v>4</v>
      </c>
      <c r="W19" s="23"/>
      <c r="X19" s="2" t="str">
        <f t="shared" ref="X19:X34" si="2">IF(D19&gt;=0,"OK","ERROR")</f>
        <v>OK</v>
      </c>
      <c r="Y19" s="2" t="str">
        <f t="shared" ref="Y19:Y34" si="3">IF(E19&lt;=0,"OK","ERROR")</f>
        <v>OK</v>
      </c>
      <c r="Z19" s="2" t="str">
        <f t="shared" ref="Z19:Z34" si="4">IF(MIN(F19:N19)&gt;=0,"OK","ERROR")</f>
        <v>OK</v>
      </c>
      <c r="AA19" s="9"/>
      <c r="AB19" s="9"/>
      <c r="AC19" s="2" t="str">
        <f t="shared" ref="AC19:AC34" si="5">IF(Q19&gt;=0,"OK","ERROR")</f>
        <v>OK</v>
      </c>
      <c r="AD19" s="9"/>
      <c r="AE19" s="2" t="str">
        <f t="shared" ref="AE19:AE34" si="6">IF(MIN(S19:U19)&gt;=0,"OK","ERROR")</f>
        <v>OK</v>
      </c>
    </row>
    <row r="20" spans="1:32" ht="25.35" customHeight="1" thickTop="1" thickBot="1" x14ac:dyDescent="0.25">
      <c r="A20" s="39"/>
      <c r="B20" s="38">
        <v>0.1</v>
      </c>
      <c r="C20" s="31">
        <v>19</v>
      </c>
      <c r="D20" s="33"/>
      <c r="E20" s="33"/>
      <c r="F20" s="32">
        <f t="shared" si="0"/>
        <v>0</v>
      </c>
      <c r="G20" s="33"/>
      <c r="H20" s="33"/>
      <c r="I20" s="33"/>
      <c r="J20" s="37"/>
      <c r="K20" s="36">
        <f t="shared" si="1"/>
        <v>0</v>
      </c>
      <c r="L20" s="35"/>
      <c r="M20" s="34"/>
      <c r="N20" s="34"/>
      <c r="O20" s="34"/>
      <c r="P20" s="34"/>
      <c r="Q20" s="33"/>
      <c r="R20" s="34"/>
      <c r="S20" s="33"/>
      <c r="T20" s="32">
        <f>S20*0.1</f>
        <v>0</v>
      </c>
      <c r="U20" s="32">
        <f t="shared" ref="U20:U34" si="7">T20*0.08</f>
        <v>0</v>
      </c>
      <c r="V20" s="31">
        <v>19</v>
      </c>
      <c r="W20" s="23"/>
      <c r="X20" s="2" t="str">
        <f t="shared" si="2"/>
        <v>OK</v>
      </c>
      <c r="Y20" s="2" t="str">
        <f t="shared" si="3"/>
        <v>OK</v>
      </c>
      <c r="Z20" s="2" t="str">
        <f t="shared" si="4"/>
        <v>OK</v>
      </c>
      <c r="AA20" s="9"/>
      <c r="AB20" s="9"/>
      <c r="AC20" s="2" t="str">
        <f t="shared" si="5"/>
        <v>OK</v>
      </c>
      <c r="AD20" s="9"/>
      <c r="AE20" s="2" t="str">
        <f t="shared" si="6"/>
        <v>OK</v>
      </c>
    </row>
    <row r="21" spans="1:32" ht="25.35" customHeight="1" thickTop="1" thickBot="1" x14ac:dyDescent="0.25">
      <c r="A21" s="39"/>
      <c r="B21" s="38" t="s">
        <v>33</v>
      </c>
      <c r="C21" s="31">
        <v>5</v>
      </c>
      <c r="D21" s="33"/>
      <c r="E21" s="33"/>
      <c r="F21" s="32">
        <f t="shared" si="0"/>
        <v>0</v>
      </c>
      <c r="G21" s="33"/>
      <c r="H21" s="33"/>
      <c r="I21" s="33"/>
      <c r="J21" s="37"/>
      <c r="K21" s="36">
        <f t="shared" si="1"/>
        <v>0</v>
      </c>
      <c r="L21" s="35"/>
      <c r="M21" s="34"/>
      <c r="N21" s="34"/>
      <c r="O21" s="34"/>
      <c r="P21" s="34"/>
      <c r="Q21" s="33"/>
      <c r="R21" s="34"/>
      <c r="S21" s="33"/>
      <c r="T21" s="32">
        <f>S21*0.2</f>
        <v>0</v>
      </c>
      <c r="U21" s="32">
        <f t="shared" si="7"/>
        <v>0</v>
      </c>
      <c r="V21" s="31">
        <v>5</v>
      </c>
      <c r="W21" s="23"/>
      <c r="X21" s="2" t="str">
        <f t="shared" si="2"/>
        <v>OK</v>
      </c>
      <c r="Y21" s="2" t="str">
        <f t="shared" si="3"/>
        <v>OK</v>
      </c>
      <c r="Z21" s="2" t="str">
        <f t="shared" si="4"/>
        <v>OK</v>
      </c>
      <c r="AA21" s="9"/>
      <c r="AB21" s="9"/>
      <c r="AC21" s="2" t="str">
        <f t="shared" si="5"/>
        <v>OK</v>
      </c>
      <c r="AD21" s="9"/>
      <c r="AE21" s="2" t="str">
        <f t="shared" si="6"/>
        <v>OK</v>
      </c>
    </row>
    <row r="22" spans="1:32" ht="25.35" customHeight="1" thickTop="1" thickBot="1" x14ac:dyDescent="0.25">
      <c r="A22" s="42"/>
      <c r="B22" s="38" t="s">
        <v>29</v>
      </c>
      <c r="C22" s="31">
        <v>6</v>
      </c>
      <c r="D22" s="33"/>
      <c r="E22" s="33"/>
      <c r="F22" s="32">
        <f t="shared" si="0"/>
        <v>0</v>
      </c>
      <c r="G22" s="33"/>
      <c r="H22" s="33"/>
      <c r="I22" s="33"/>
      <c r="J22" s="37"/>
      <c r="K22" s="36">
        <f t="shared" si="1"/>
        <v>0</v>
      </c>
      <c r="L22" s="35"/>
      <c r="M22" s="34"/>
      <c r="N22" s="34"/>
      <c r="O22" s="34"/>
      <c r="P22" s="34"/>
      <c r="Q22" s="33"/>
      <c r="R22" s="34"/>
      <c r="S22" s="33"/>
      <c r="T22" s="32">
        <f>S22*0.2</f>
        <v>0</v>
      </c>
      <c r="U22" s="32">
        <f t="shared" si="7"/>
        <v>0</v>
      </c>
      <c r="V22" s="31">
        <v>6</v>
      </c>
      <c r="W22" s="23"/>
      <c r="X22" s="2" t="str">
        <f t="shared" si="2"/>
        <v>OK</v>
      </c>
      <c r="Y22" s="2" t="str">
        <f t="shared" si="3"/>
        <v>OK</v>
      </c>
      <c r="Z22" s="2" t="str">
        <f t="shared" si="4"/>
        <v>OK</v>
      </c>
      <c r="AA22" s="9"/>
      <c r="AB22" s="9"/>
      <c r="AC22" s="2" t="str">
        <f t="shared" si="5"/>
        <v>OK</v>
      </c>
      <c r="AD22" s="9"/>
      <c r="AE22" s="2" t="str">
        <f t="shared" si="6"/>
        <v>OK</v>
      </c>
    </row>
    <row r="23" spans="1:32" ht="20.85" customHeight="1" thickTop="1" thickBot="1" x14ac:dyDescent="0.25">
      <c r="A23" s="41"/>
      <c r="B23" s="38">
        <v>0.35</v>
      </c>
      <c r="C23" s="31">
        <v>7</v>
      </c>
      <c r="D23" s="33"/>
      <c r="E23" s="33"/>
      <c r="F23" s="32">
        <f t="shared" si="0"/>
        <v>0</v>
      </c>
      <c r="G23" s="33"/>
      <c r="H23" s="33"/>
      <c r="I23" s="33"/>
      <c r="J23" s="37"/>
      <c r="K23" s="36">
        <f t="shared" si="1"/>
        <v>0</v>
      </c>
      <c r="L23" s="35"/>
      <c r="M23" s="34"/>
      <c r="N23" s="34"/>
      <c r="O23" s="34"/>
      <c r="P23" s="34"/>
      <c r="Q23" s="33"/>
      <c r="R23" s="34"/>
      <c r="S23" s="33"/>
      <c r="T23" s="32">
        <f>S23*0.35</f>
        <v>0</v>
      </c>
      <c r="U23" s="32">
        <f t="shared" si="7"/>
        <v>0</v>
      </c>
      <c r="V23" s="31">
        <v>7</v>
      </c>
      <c r="W23" s="23"/>
      <c r="X23" s="2" t="str">
        <f t="shared" si="2"/>
        <v>OK</v>
      </c>
      <c r="Y23" s="2" t="str">
        <f t="shared" si="3"/>
        <v>OK</v>
      </c>
      <c r="Z23" s="2" t="str">
        <f t="shared" si="4"/>
        <v>OK</v>
      </c>
      <c r="AA23" s="9"/>
      <c r="AB23" s="9"/>
      <c r="AC23" s="2" t="str">
        <f t="shared" si="5"/>
        <v>OK</v>
      </c>
      <c r="AD23" s="9"/>
      <c r="AE23" s="2" t="str">
        <f t="shared" si="6"/>
        <v>OK</v>
      </c>
    </row>
    <row r="24" spans="1:32" ht="25.35" customHeight="1" thickTop="1" thickBot="1" x14ac:dyDescent="0.25">
      <c r="A24" s="39"/>
      <c r="B24" s="38" t="s">
        <v>32</v>
      </c>
      <c r="C24" s="31">
        <v>8</v>
      </c>
      <c r="D24" s="33"/>
      <c r="E24" s="33"/>
      <c r="F24" s="32">
        <f t="shared" si="0"/>
        <v>0</v>
      </c>
      <c r="G24" s="33"/>
      <c r="H24" s="33"/>
      <c r="I24" s="33"/>
      <c r="J24" s="37"/>
      <c r="K24" s="36">
        <f t="shared" si="1"/>
        <v>0</v>
      </c>
      <c r="L24" s="35"/>
      <c r="M24" s="34"/>
      <c r="N24" s="34"/>
      <c r="O24" s="34"/>
      <c r="P24" s="34"/>
      <c r="Q24" s="33"/>
      <c r="R24" s="34"/>
      <c r="S24" s="33"/>
      <c r="T24" s="32">
        <f>S24*0.5</f>
        <v>0</v>
      </c>
      <c r="U24" s="32">
        <f t="shared" si="7"/>
        <v>0</v>
      </c>
      <c r="V24" s="31">
        <v>8</v>
      </c>
      <c r="W24" s="23"/>
      <c r="X24" s="2" t="str">
        <f t="shared" si="2"/>
        <v>OK</v>
      </c>
      <c r="Y24" s="2" t="str">
        <f t="shared" si="3"/>
        <v>OK</v>
      </c>
      <c r="Z24" s="2" t="str">
        <f t="shared" si="4"/>
        <v>OK</v>
      </c>
      <c r="AA24" s="9"/>
      <c r="AB24" s="9"/>
      <c r="AC24" s="2" t="str">
        <f t="shared" si="5"/>
        <v>OK</v>
      </c>
      <c r="AD24" s="9"/>
      <c r="AE24" s="2" t="str">
        <f t="shared" si="6"/>
        <v>OK</v>
      </c>
    </row>
    <row r="25" spans="1:32" ht="25.35" customHeight="1" thickTop="1" thickBot="1" x14ac:dyDescent="0.25">
      <c r="A25" s="39"/>
      <c r="B25" s="38" t="s">
        <v>29</v>
      </c>
      <c r="C25" s="31">
        <v>9</v>
      </c>
      <c r="D25" s="33"/>
      <c r="E25" s="33"/>
      <c r="F25" s="32">
        <f t="shared" si="0"/>
        <v>0</v>
      </c>
      <c r="G25" s="33"/>
      <c r="H25" s="33"/>
      <c r="I25" s="33"/>
      <c r="J25" s="37"/>
      <c r="K25" s="36">
        <f t="shared" si="1"/>
        <v>0</v>
      </c>
      <c r="L25" s="35"/>
      <c r="M25" s="34"/>
      <c r="N25" s="34"/>
      <c r="O25" s="34"/>
      <c r="P25" s="34"/>
      <c r="Q25" s="33"/>
      <c r="R25" s="34"/>
      <c r="S25" s="33"/>
      <c r="T25" s="32">
        <f>S25*0.5</f>
        <v>0</v>
      </c>
      <c r="U25" s="32">
        <f t="shared" si="7"/>
        <v>0</v>
      </c>
      <c r="V25" s="31">
        <v>9</v>
      </c>
      <c r="W25" s="23"/>
      <c r="X25" s="2" t="str">
        <f t="shared" si="2"/>
        <v>OK</v>
      </c>
      <c r="Y25" s="2" t="str">
        <f t="shared" si="3"/>
        <v>OK</v>
      </c>
      <c r="Z25" s="2" t="str">
        <f t="shared" si="4"/>
        <v>OK</v>
      </c>
      <c r="AA25" s="9"/>
      <c r="AB25" s="9"/>
      <c r="AC25" s="2" t="str">
        <f t="shared" si="5"/>
        <v>OK</v>
      </c>
      <c r="AD25" s="9"/>
      <c r="AE25" s="2" t="str">
        <f t="shared" si="6"/>
        <v>OK</v>
      </c>
    </row>
    <row r="26" spans="1:32" ht="25.35" customHeight="1" thickTop="1" thickBot="1" x14ac:dyDescent="0.25">
      <c r="A26" s="39"/>
      <c r="B26" s="38" t="s">
        <v>31</v>
      </c>
      <c r="C26" s="31">
        <v>11</v>
      </c>
      <c r="D26" s="33"/>
      <c r="E26" s="33"/>
      <c r="F26" s="32">
        <f t="shared" si="0"/>
        <v>0</v>
      </c>
      <c r="G26" s="33"/>
      <c r="H26" s="33"/>
      <c r="I26" s="33"/>
      <c r="J26" s="37"/>
      <c r="K26" s="36">
        <f t="shared" si="1"/>
        <v>0</v>
      </c>
      <c r="L26" s="35"/>
      <c r="M26" s="34"/>
      <c r="N26" s="34"/>
      <c r="O26" s="34"/>
      <c r="P26" s="34"/>
      <c r="Q26" s="33"/>
      <c r="R26" s="34"/>
      <c r="S26" s="33"/>
      <c r="T26" s="32">
        <f>S26*0.75</f>
        <v>0</v>
      </c>
      <c r="U26" s="32">
        <f t="shared" si="7"/>
        <v>0</v>
      </c>
      <c r="V26" s="31">
        <v>11</v>
      </c>
      <c r="W26" s="23"/>
      <c r="X26" s="2" t="str">
        <f t="shared" si="2"/>
        <v>OK</v>
      </c>
      <c r="Y26" s="2" t="str">
        <f t="shared" si="3"/>
        <v>OK</v>
      </c>
      <c r="Z26" s="2" t="str">
        <f t="shared" si="4"/>
        <v>OK</v>
      </c>
      <c r="AA26" s="9"/>
      <c r="AB26" s="9"/>
      <c r="AC26" s="2" t="str">
        <f t="shared" si="5"/>
        <v>OK</v>
      </c>
      <c r="AD26" s="9"/>
      <c r="AE26" s="2" t="str">
        <f t="shared" si="6"/>
        <v>OK</v>
      </c>
    </row>
    <row r="27" spans="1:32" ht="25.35" customHeight="1" thickTop="1" thickBot="1" x14ac:dyDescent="0.25">
      <c r="A27" s="39"/>
      <c r="B27" s="40" t="s">
        <v>28</v>
      </c>
      <c r="C27" s="31">
        <v>20</v>
      </c>
      <c r="D27" s="33"/>
      <c r="E27" s="33"/>
      <c r="F27" s="32">
        <f t="shared" si="0"/>
        <v>0</v>
      </c>
      <c r="G27" s="33"/>
      <c r="H27" s="33"/>
      <c r="I27" s="33"/>
      <c r="J27" s="37"/>
      <c r="K27" s="36">
        <f t="shared" si="1"/>
        <v>0</v>
      </c>
      <c r="L27" s="35"/>
      <c r="M27" s="34"/>
      <c r="N27" s="34"/>
      <c r="O27" s="34"/>
      <c r="P27" s="34"/>
      <c r="Q27" s="33"/>
      <c r="R27" s="34"/>
      <c r="S27" s="33"/>
      <c r="T27" s="32">
        <f>S27*0.75</f>
        <v>0</v>
      </c>
      <c r="U27" s="32">
        <f t="shared" si="7"/>
        <v>0</v>
      </c>
      <c r="V27" s="31">
        <v>20</v>
      </c>
      <c r="W27" s="23"/>
      <c r="X27" s="2" t="str">
        <f t="shared" si="2"/>
        <v>OK</v>
      </c>
      <c r="Y27" s="2" t="str">
        <f t="shared" si="3"/>
        <v>OK</v>
      </c>
      <c r="Z27" s="2" t="str">
        <f t="shared" si="4"/>
        <v>OK</v>
      </c>
      <c r="AA27" s="9"/>
      <c r="AB27" s="9"/>
      <c r="AC27" s="2" t="str">
        <f t="shared" si="5"/>
        <v>OK</v>
      </c>
      <c r="AD27" s="9"/>
      <c r="AE27" s="2" t="str">
        <f t="shared" si="6"/>
        <v>OK</v>
      </c>
    </row>
    <row r="28" spans="1:32" ht="24.6" customHeight="1" thickTop="1" thickBot="1" x14ac:dyDescent="0.25">
      <c r="A28" s="39"/>
      <c r="B28" s="38" t="s">
        <v>30</v>
      </c>
      <c r="C28" s="31">
        <v>12</v>
      </c>
      <c r="D28" s="33"/>
      <c r="E28" s="33"/>
      <c r="F28" s="32">
        <f t="shared" si="0"/>
        <v>0</v>
      </c>
      <c r="G28" s="33"/>
      <c r="H28" s="33"/>
      <c r="I28" s="33"/>
      <c r="J28" s="37"/>
      <c r="K28" s="36">
        <f t="shared" si="1"/>
        <v>0</v>
      </c>
      <c r="L28" s="35"/>
      <c r="M28" s="34"/>
      <c r="N28" s="34"/>
      <c r="O28" s="34"/>
      <c r="P28" s="34"/>
      <c r="Q28" s="33"/>
      <c r="R28" s="34"/>
      <c r="S28" s="33"/>
      <c r="T28" s="32">
        <f>S28*1</f>
        <v>0</v>
      </c>
      <c r="U28" s="32">
        <f t="shared" si="7"/>
        <v>0</v>
      </c>
      <c r="V28" s="31">
        <v>12</v>
      </c>
      <c r="W28" s="23"/>
      <c r="X28" s="2" t="str">
        <f t="shared" si="2"/>
        <v>OK</v>
      </c>
      <c r="Y28" s="2" t="str">
        <f t="shared" si="3"/>
        <v>OK</v>
      </c>
      <c r="Z28" s="2" t="str">
        <f t="shared" si="4"/>
        <v>OK</v>
      </c>
      <c r="AA28" s="9"/>
      <c r="AB28" s="9"/>
      <c r="AC28" s="2" t="str">
        <f t="shared" si="5"/>
        <v>OK</v>
      </c>
      <c r="AD28" s="9"/>
      <c r="AE28" s="2" t="str">
        <f t="shared" si="6"/>
        <v>OK</v>
      </c>
    </row>
    <row r="29" spans="1:32" ht="24.6" customHeight="1" thickTop="1" thickBot="1" x14ac:dyDescent="0.25">
      <c r="A29" s="39"/>
      <c r="B29" s="38" t="s">
        <v>29</v>
      </c>
      <c r="C29" s="31">
        <v>13</v>
      </c>
      <c r="D29" s="33"/>
      <c r="E29" s="33"/>
      <c r="F29" s="32">
        <f t="shared" si="0"/>
        <v>0</v>
      </c>
      <c r="G29" s="33"/>
      <c r="H29" s="33"/>
      <c r="I29" s="33"/>
      <c r="J29" s="37"/>
      <c r="K29" s="36">
        <f t="shared" si="1"/>
        <v>0</v>
      </c>
      <c r="L29" s="35"/>
      <c r="M29" s="34"/>
      <c r="N29" s="34"/>
      <c r="O29" s="34"/>
      <c r="P29" s="34"/>
      <c r="Q29" s="33"/>
      <c r="R29" s="34"/>
      <c r="S29" s="33"/>
      <c r="T29" s="32">
        <f>S29*1</f>
        <v>0</v>
      </c>
      <c r="U29" s="32">
        <f t="shared" si="7"/>
        <v>0</v>
      </c>
      <c r="V29" s="31">
        <v>13</v>
      </c>
      <c r="W29" s="23"/>
      <c r="X29" s="2" t="str">
        <f t="shared" si="2"/>
        <v>OK</v>
      </c>
      <c r="Y29" s="2" t="str">
        <f t="shared" si="3"/>
        <v>OK</v>
      </c>
      <c r="Z29" s="2" t="str">
        <f t="shared" si="4"/>
        <v>OK</v>
      </c>
      <c r="AA29" s="9"/>
      <c r="AB29" s="9"/>
      <c r="AC29" s="2" t="str">
        <f t="shared" si="5"/>
        <v>OK</v>
      </c>
      <c r="AD29" s="9"/>
      <c r="AE29" s="2" t="str">
        <f t="shared" si="6"/>
        <v>OK</v>
      </c>
    </row>
    <row r="30" spans="1:32" ht="24.6" customHeight="1" thickTop="1" thickBot="1" x14ac:dyDescent="0.25">
      <c r="A30" s="39"/>
      <c r="B30" s="40" t="s">
        <v>28</v>
      </c>
      <c r="C30" s="31">
        <v>14</v>
      </c>
      <c r="D30" s="33"/>
      <c r="E30" s="33"/>
      <c r="F30" s="32">
        <f t="shared" si="0"/>
        <v>0</v>
      </c>
      <c r="G30" s="33"/>
      <c r="H30" s="33"/>
      <c r="I30" s="33"/>
      <c r="J30" s="37"/>
      <c r="K30" s="36">
        <f t="shared" si="1"/>
        <v>0</v>
      </c>
      <c r="L30" s="35"/>
      <c r="M30" s="34"/>
      <c r="N30" s="34"/>
      <c r="O30" s="34"/>
      <c r="P30" s="34"/>
      <c r="Q30" s="33"/>
      <c r="R30" s="34"/>
      <c r="S30" s="33"/>
      <c r="T30" s="32">
        <f>S30*1</f>
        <v>0</v>
      </c>
      <c r="U30" s="32">
        <f t="shared" si="7"/>
        <v>0</v>
      </c>
      <c r="V30" s="31">
        <v>14</v>
      </c>
      <c r="W30" s="23"/>
      <c r="X30" s="2" t="str">
        <f t="shared" si="2"/>
        <v>OK</v>
      </c>
      <c r="Y30" s="2" t="str">
        <f t="shared" si="3"/>
        <v>OK</v>
      </c>
      <c r="Z30" s="2" t="str">
        <f t="shared" si="4"/>
        <v>OK</v>
      </c>
      <c r="AA30" s="9"/>
      <c r="AB30" s="9"/>
      <c r="AC30" s="2" t="str">
        <f t="shared" si="5"/>
        <v>OK</v>
      </c>
      <c r="AD30" s="9"/>
      <c r="AE30" s="2" t="str">
        <f t="shared" si="6"/>
        <v>OK</v>
      </c>
    </row>
    <row r="31" spans="1:32" ht="24.6" customHeight="1" thickTop="1" thickBot="1" x14ac:dyDescent="0.25">
      <c r="A31" s="39"/>
      <c r="B31" s="38" t="s">
        <v>26</v>
      </c>
      <c r="C31" s="31">
        <v>15</v>
      </c>
      <c r="D31" s="33"/>
      <c r="E31" s="33"/>
      <c r="F31" s="32">
        <f t="shared" si="0"/>
        <v>0</v>
      </c>
      <c r="G31" s="33"/>
      <c r="H31" s="33"/>
      <c r="I31" s="33"/>
      <c r="J31" s="37"/>
      <c r="K31" s="36">
        <f t="shared" si="1"/>
        <v>0</v>
      </c>
      <c r="L31" s="35"/>
      <c r="M31" s="34"/>
      <c r="N31" s="34"/>
      <c r="O31" s="34"/>
      <c r="P31" s="34"/>
      <c r="Q31" s="33"/>
      <c r="R31" s="34"/>
      <c r="S31" s="33"/>
      <c r="T31" s="32">
        <f>S31*1</f>
        <v>0</v>
      </c>
      <c r="U31" s="32">
        <f t="shared" si="7"/>
        <v>0</v>
      </c>
      <c r="V31" s="31">
        <v>15</v>
      </c>
      <c r="W31" s="23"/>
      <c r="X31" s="2" t="str">
        <f t="shared" si="2"/>
        <v>OK</v>
      </c>
      <c r="Y31" s="2" t="str">
        <f t="shared" si="3"/>
        <v>OK</v>
      </c>
      <c r="Z31" s="2" t="str">
        <f t="shared" si="4"/>
        <v>OK</v>
      </c>
      <c r="AA31" s="9"/>
      <c r="AB31" s="9"/>
      <c r="AC31" s="2" t="str">
        <f t="shared" si="5"/>
        <v>OK</v>
      </c>
      <c r="AD31" s="9"/>
      <c r="AE31" s="2" t="str">
        <f t="shared" si="6"/>
        <v>OK</v>
      </c>
    </row>
    <row r="32" spans="1:32" ht="24.6" customHeight="1" thickTop="1" thickBot="1" x14ac:dyDescent="0.25">
      <c r="A32" s="39"/>
      <c r="B32" s="38" t="s">
        <v>27</v>
      </c>
      <c r="C32" s="31">
        <v>16</v>
      </c>
      <c r="D32" s="33"/>
      <c r="E32" s="33"/>
      <c r="F32" s="32">
        <f t="shared" si="0"/>
        <v>0</v>
      </c>
      <c r="G32" s="33"/>
      <c r="H32" s="33"/>
      <c r="I32" s="33"/>
      <c r="J32" s="37"/>
      <c r="K32" s="36">
        <f t="shared" si="1"/>
        <v>0</v>
      </c>
      <c r="L32" s="35"/>
      <c r="M32" s="34"/>
      <c r="N32" s="34"/>
      <c r="O32" s="34"/>
      <c r="P32" s="34"/>
      <c r="Q32" s="33"/>
      <c r="R32" s="34"/>
      <c r="S32" s="33"/>
      <c r="T32" s="32">
        <f>S32*1.5</f>
        <v>0</v>
      </c>
      <c r="U32" s="32">
        <f t="shared" si="7"/>
        <v>0</v>
      </c>
      <c r="V32" s="31">
        <v>16</v>
      </c>
      <c r="W32" s="23"/>
      <c r="X32" s="2" t="str">
        <f t="shared" si="2"/>
        <v>OK</v>
      </c>
      <c r="Y32" s="2" t="str">
        <f t="shared" si="3"/>
        <v>OK</v>
      </c>
      <c r="Z32" s="2" t="str">
        <f t="shared" si="4"/>
        <v>OK</v>
      </c>
      <c r="AA32" s="9"/>
      <c r="AB32" s="9"/>
      <c r="AC32" s="2" t="str">
        <f t="shared" si="5"/>
        <v>OK</v>
      </c>
      <c r="AD32" s="9"/>
      <c r="AE32" s="2" t="str">
        <f t="shared" si="6"/>
        <v>OK</v>
      </c>
    </row>
    <row r="33" spans="1:32" ht="24.6" customHeight="1" thickTop="1" thickBot="1" x14ac:dyDescent="0.25">
      <c r="A33" s="39"/>
      <c r="B33" s="38" t="s">
        <v>26</v>
      </c>
      <c r="C33" s="31">
        <v>17</v>
      </c>
      <c r="D33" s="33"/>
      <c r="E33" s="33"/>
      <c r="F33" s="32">
        <f t="shared" si="0"/>
        <v>0</v>
      </c>
      <c r="G33" s="33"/>
      <c r="H33" s="33"/>
      <c r="I33" s="33"/>
      <c r="J33" s="37"/>
      <c r="K33" s="36">
        <f t="shared" si="1"/>
        <v>0</v>
      </c>
      <c r="L33" s="35"/>
      <c r="M33" s="34"/>
      <c r="N33" s="34"/>
      <c r="O33" s="34"/>
      <c r="P33" s="34"/>
      <c r="Q33" s="33"/>
      <c r="R33" s="34"/>
      <c r="S33" s="33"/>
      <c r="T33" s="32">
        <f>S33*1.5</f>
        <v>0</v>
      </c>
      <c r="U33" s="32">
        <f t="shared" si="7"/>
        <v>0</v>
      </c>
      <c r="V33" s="31">
        <v>17</v>
      </c>
      <c r="W33" s="23"/>
      <c r="X33" s="2" t="str">
        <f t="shared" si="2"/>
        <v>OK</v>
      </c>
      <c r="Y33" s="2" t="str">
        <f t="shared" si="3"/>
        <v>OK</v>
      </c>
      <c r="Z33" s="2" t="str">
        <f t="shared" si="4"/>
        <v>OK</v>
      </c>
      <c r="AA33" s="9"/>
      <c r="AB33" s="9"/>
      <c r="AC33" s="2" t="str">
        <f t="shared" si="5"/>
        <v>OK</v>
      </c>
      <c r="AD33" s="9"/>
      <c r="AE33" s="2" t="str">
        <f t="shared" si="6"/>
        <v>OK</v>
      </c>
    </row>
    <row r="34" spans="1:32" ht="25.35" customHeight="1" thickTop="1" thickBot="1" x14ac:dyDescent="0.25">
      <c r="A34" s="39"/>
      <c r="B34" s="38">
        <v>3.5</v>
      </c>
      <c r="C34" s="31">
        <v>18</v>
      </c>
      <c r="D34" s="33"/>
      <c r="E34" s="33"/>
      <c r="F34" s="32">
        <f t="shared" si="0"/>
        <v>0</v>
      </c>
      <c r="G34" s="33"/>
      <c r="H34" s="33"/>
      <c r="I34" s="33"/>
      <c r="J34" s="37"/>
      <c r="K34" s="36">
        <f t="shared" si="1"/>
        <v>0</v>
      </c>
      <c r="L34" s="35"/>
      <c r="M34" s="34"/>
      <c r="N34" s="34"/>
      <c r="O34" s="34"/>
      <c r="P34" s="34"/>
      <c r="Q34" s="33"/>
      <c r="R34" s="34"/>
      <c r="S34" s="33"/>
      <c r="T34" s="32">
        <f>S34*3.5</f>
        <v>0</v>
      </c>
      <c r="U34" s="32">
        <f t="shared" si="7"/>
        <v>0</v>
      </c>
      <c r="V34" s="31">
        <v>18</v>
      </c>
      <c r="W34" s="23"/>
      <c r="X34" s="2" t="str">
        <f t="shared" si="2"/>
        <v>OK</v>
      </c>
      <c r="Y34" s="2" t="str">
        <f t="shared" si="3"/>
        <v>OK</v>
      </c>
      <c r="Z34" s="2" t="str">
        <f t="shared" si="4"/>
        <v>OK</v>
      </c>
      <c r="AA34" s="9"/>
      <c r="AB34" s="9"/>
      <c r="AC34" s="2" t="str">
        <f t="shared" si="5"/>
        <v>OK</v>
      </c>
      <c r="AD34" s="9"/>
      <c r="AE34" s="2" t="str">
        <f t="shared" si="6"/>
        <v>OK</v>
      </c>
    </row>
    <row r="35" spans="1:32" ht="7.5" customHeight="1" thickTop="1" x14ac:dyDescent="0.2">
      <c r="A35" s="30"/>
      <c r="B35" s="29"/>
      <c r="C35" s="12"/>
      <c r="D35" s="28"/>
      <c r="E35" s="28"/>
      <c r="F35" s="28"/>
      <c r="G35" s="28"/>
      <c r="H35" s="28"/>
      <c r="I35" s="28"/>
      <c r="J35" s="28"/>
      <c r="K35" s="28"/>
      <c r="L35" s="28"/>
      <c r="M35" s="28"/>
      <c r="N35" s="28"/>
      <c r="O35" s="28"/>
      <c r="P35" s="28"/>
      <c r="Q35" s="28"/>
      <c r="R35" s="28"/>
      <c r="S35" s="28"/>
      <c r="T35" s="28"/>
      <c r="U35" s="28"/>
      <c r="V35" s="12"/>
      <c r="W35" s="24"/>
      <c r="X35" s="24"/>
      <c r="Y35" s="27"/>
      <c r="Z35" s="27"/>
      <c r="AA35" s="9"/>
      <c r="AB35" s="9"/>
      <c r="AC35" s="9"/>
      <c r="AD35" s="9"/>
      <c r="AE35" s="9"/>
      <c r="AF35" s="9"/>
    </row>
    <row r="36" spans="1:32" ht="18.75" customHeight="1" x14ac:dyDescent="0.2">
      <c r="A36"/>
      <c r="B36" s="26" t="str">
        <f>"Version: "&amp;D43</f>
        <v>Version: 2.01.E0</v>
      </c>
      <c r="C36"/>
      <c r="D36"/>
      <c r="E36"/>
      <c r="F36"/>
      <c r="G36"/>
      <c r="H36"/>
      <c r="I36"/>
      <c r="J36"/>
      <c r="K36"/>
      <c r="L36"/>
      <c r="M36"/>
      <c r="N36"/>
      <c r="O36"/>
      <c r="P36"/>
      <c r="Q36"/>
      <c r="R36"/>
      <c r="S36"/>
      <c r="T36"/>
      <c r="U36"/>
      <c r="V36" s="25" t="s">
        <v>25</v>
      </c>
      <c r="W36" s="23"/>
      <c r="X36" s="23"/>
      <c r="Y36" s="24"/>
      <c r="Z36" s="24"/>
      <c r="AA36" s="9"/>
      <c r="AB36" s="9"/>
      <c r="AC36" s="9"/>
      <c r="AD36" s="9"/>
      <c r="AE36" s="9"/>
      <c r="AF36" s="9"/>
    </row>
    <row r="37" spans="1:32" ht="18.75" customHeight="1" x14ac:dyDescent="0.2">
      <c r="A37"/>
      <c r="B37"/>
      <c r="C37"/>
      <c r="D37"/>
      <c r="E37"/>
      <c r="F37"/>
      <c r="G37"/>
      <c r="H37"/>
      <c r="I37"/>
      <c r="J37"/>
      <c r="K37"/>
      <c r="L37"/>
      <c r="M37"/>
      <c r="N37"/>
      <c r="O37"/>
      <c r="P37"/>
      <c r="Q37"/>
      <c r="R37"/>
      <c r="S37"/>
      <c r="T37"/>
      <c r="U37"/>
      <c r="V37" s="9"/>
      <c r="W37" s="23"/>
      <c r="X37" s="23"/>
      <c r="Y37" s="23"/>
      <c r="Z37" s="23"/>
    </row>
    <row r="38" spans="1:32" ht="18.75" customHeight="1" x14ac:dyDescent="0.2">
      <c r="Q38" s="22"/>
      <c r="S38" s="22"/>
      <c r="V38" s="9"/>
    </row>
    <row r="39" spans="1:32" ht="18.75" customHeight="1" x14ac:dyDescent="0.2">
      <c r="Q39" s="22"/>
      <c r="S39" s="22"/>
    </row>
    <row r="40" spans="1:32" ht="18.75" customHeight="1" x14ac:dyDescent="0.2">
      <c r="B40" s="21"/>
      <c r="C40" s="20" t="s">
        <v>24</v>
      </c>
      <c r="D40" s="19" t="str">
        <f>U2</f>
        <v>XXXXXX</v>
      </c>
    </row>
    <row r="41" spans="1:32" ht="18.75" customHeight="1" x14ac:dyDescent="0.2">
      <c r="B41" s="15"/>
      <c r="D41" s="14" t="str">
        <f>U1</f>
        <v>P_CRSABIS_06</v>
      </c>
    </row>
    <row r="42" spans="1:32" ht="18.75" customHeight="1" x14ac:dyDescent="0.2">
      <c r="B42" s="15"/>
      <c r="D42" s="18" t="str">
        <f>U3</f>
        <v>DD.MM.YYYY</v>
      </c>
    </row>
    <row r="43" spans="1:32" ht="18.75" customHeight="1" x14ac:dyDescent="0.2">
      <c r="B43" s="17"/>
      <c r="D43" s="16" t="s">
        <v>23</v>
      </c>
    </row>
    <row r="44" spans="1:32" ht="18.75" customHeight="1" x14ac:dyDescent="0.2">
      <c r="B44" s="15"/>
      <c r="D44" s="14" t="str">
        <f>D13</f>
        <v>col. 01</v>
      </c>
    </row>
    <row r="45" spans="1:32" ht="18.75" customHeight="1" x14ac:dyDescent="0.2">
      <c r="B45" s="13"/>
      <c r="C45" s="12"/>
      <c r="D45" s="11">
        <f>COUNTIF(D49:U54,"ERROR")+COUNTIF(X14:AE35,"ERROR")</f>
        <v>0</v>
      </c>
    </row>
    <row r="46" spans="1:32" ht="20.85" customHeight="1" x14ac:dyDescent="0.2">
      <c r="B46" s="9"/>
      <c r="C46" s="8"/>
      <c r="D46" s="10"/>
    </row>
    <row r="47" spans="1:32" x14ac:dyDescent="0.2">
      <c r="B47" s="9"/>
      <c r="C47" s="8"/>
      <c r="D47" s="7"/>
    </row>
    <row r="48" spans="1:32" x14ac:dyDescent="0.2">
      <c r="D48" s="6" t="s">
        <v>22</v>
      </c>
      <c r="E48" s="6" t="s">
        <v>21</v>
      </c>
      <c r="F48" s="6" t="s">
        <v>20</v>
      </c>
      <c r="G48" s="6" t="s">
        <v>19</v>
      </c>
      <c r="H48" s="6" t="s">
        <v>18</v>
      </c>
      <c r="I48" s="6" t="s">
        <v>17</v>
      </c>
      <c r="J48" s="6" t="s">
        <v>16</v>
      </c>
      <c r="K48" s="6" t="s">
        <v>15</v>
      </c>
      <c r="L48" s="6" t="s">
        <v>14</v>
      </c>
      <c r="M48" s="6" t="s">
        <v>13</v>
      </c>
      <c r="N48" s="6" t="s">
        <v>12</v>
      </c>
      <c r="O48" s="6" t="s">
        <v>11</v>
      </c>
      <c r="P48" s="6" t="s">
        <v>10</v>
      </c>
      <c r="Q48" s="6" t="s">
        <v>9</v>
      </c>
      <c r="R48" s="6" t="s">
        <v>8</v>
      </c>
      <c r="S48" s="6" t="s">
        <v>7</v>
      </c>
      <c r="T48" s="6" t="s">
        <v>6</v>
      </c>
      <c r="U48" s="6" t="s">
        <v>5</v>
      </c>
      <c r="V48"/>
      <c r="W48"/>
    </row>
    <row r="49" spans="2:23" x14ac:dyDescent="0.2">
      <c r="B49" s="4" t="s">
        <v>4</v>
      </c>
      <c r="C49" s="5"/>
      <c r="D49" s="2" t="str">
        <f>IF(ROUND(D17+D16,0)=ROUND(D14,0),"OK","ERROR")</f>
        <v>OK</v>
      </c>
      <c r="E49" s="2" t="str">
        <f>IF(ROUND(E17+E16,0)=ROUND(E14,0),"OK","ERROR")</f>
        <v>OK</v>
      </c>
      <c r="F49" s="2" t="str">
        <f>IF(ROUND(F17+F16,0)=ROUND(F14,0),"OK","ERROR")</f>
        <v>OK</v>
      </c>
      <c r="G49" s="2" t="str">
        <f>IF(ROUND(G17,0)=ROUND(G14,0),"OK","ERROR")</f>
        <v>OK</v>
      </c>
      <c r="H49" s="2" t="str">
        <f>IF(ROUND(H17,0)=ROUND(H14,0),"OK","ERROR")</f>
        <v>OK</v>
      </c>
      <c r="I49" s="2" t="str">
        <f>IF(ROUND(I17,0)=ROUND(I14,0),"OK","ERROR")</f>
        <v>OK</v>
      </c>
      <c r="J49" s="2" t="str">
        <f>IF(ROUND(J17,0)=ROUND(J14,0),"OK","ERROR")</f>
        <v>OK</v>
      </c>
      <c r="K49" s="2" t="str">
        <f>IF(AND(ROUND(K16+K17,0)=ROUND(K14,0),ROUND(K14,0)=ROUND(K19+K20+K21+K23+K24+K26+K28+K32+K34,0)),"OK","ERROR")</f>
        <v>OK</v>
      </c>
      <c r="L49"/>
      <c r="M49"/>
      <c r="N49"/>
      <c r="O49"/>
      <c r="P49"/>
      <c r="Q49" s="2" t="str">
        <f>IF(AND(ROUND(Q17+Q16,0)=ROUND(Q14,0),ROUND(K14+O14+P14,0)=ROUND(Q14,0)),"OK","ERROR")</f>
        <v>OK</v>
      </c>
      <c r="R49"/>
      <c r="S49" s="2" t="str">
        <f>IF(AND(ROUND(S17+S16,0)=ROUND(S14,0),ROUND(Q14+R14,0)=ROUND(S14,0)),"OK","ERROR")</f>
        <v>OK</v>
      </c>
      <c r="T49" s="2" t="str">
        <f>IF(ROUND(T17+T16,0)=ROUND(T14,0),"OK","ERROR")</f>
        <v>OK</v>
      </c>
      <c r="U49" s="2" t="str">
        <f>IF(ROUND(U17+U16,0)=ROUND(U14,0),"OK","ERROR")</f>
        <v>OK</v>
      </c>
      <c r="V49"/>
      <c r="W49"/>
    </row>
    <row r="50" spans="2:23" x14ac:dyDescent="0.2">
      <c r="B50" s="4" t="s">
        <v>3</v>
      </c>
      <c r="C50" s="3"/>
      <c r="D50" s="2" t="str">
        <f>IF(ROUND(D22,0)&lt;=ROUND(D21,0),"OK","ERROR")</f>
        <v>OK</v>
      </c>
      <c r="E50" s="2" t="str">
        <f>IF(ROUND(E22,0)&gt;=ROUND(E21,0),"OK","ERROR")</f>
        <v>OK</v>
      </c>
      <c r="F50" s="2" t="str">
        <f t="shared" ref="F50:K50" si="8">IF(ROUND(F22,0)&lt;=ROUND(F21,0),"OK","ERROR")</f>
        <v>OK</v>
      </c>
      <c r="G50" s="2" t="str">
        <f t="shared" si="8"/>
        <v>OK</v>
      </c>
      <c r="H50" s="2" t="str">
        <f t="shared" si="8"/>
        <v>OK</v>
      </c>
      <c r="I50" s="2" t="str">
        <f t="shared" si="8"/>
        <v>OK</v>
      </c>
      <c r="J50" s="2" t="str">
        <f t="shared" si="8"/>
        <v>OK</v>
      </c>
      <c r="K50" s="2" t="str">
        <f t="shared" si="8"/>
        <v>OK</v>
      </c>
      <c r="L50"/>
      <c r="M50"/>
      <c r="N50"/>
      <c r="O50"/>
      <c r="P50"/>
      <c r="Q50" s="2" t="str">
        <f>IF(ROUND(Q22,0)&lt;=ROUND(Q21,0),"OK","ERROR")</f>
        <v>OK</v>
      </c>
      <c r="R50"/>
      <c r="S50" s="2" t="str">
        <f>IF(ROUND(S22,0)&lt;=ROUND(S21,0),"OK","ERROR")</f>
        <v>OK</v>
      </c>
      <c r="T50" s="2" t="str">
        <f>IF(ROUND(T22,0)&lt;=ROUND(T21,0),"OK","ERROR")</f>
        <v>OK</v>
      </c>
      <c r="U50" s="2" t="str">
        <f>IF(ROUND(U22,0)&lt;=ROUND(U21,0),"OK","ERROR")</f>
        <v>OK</v>
      </c>
      <c r="V50"/>
      <c r="W50"/>
    </row>
    <row r="51" spans="2:23" x14ac:dyDescent="0.2">
      <c r="B51" s="4" t="s">
        <v>2</v>
      </c>
      <c r="C51" s="3"/>
      <c r="D51" s="2" t="str">
        <f>IF(ROUND(D25,0)&lt;=ROUND(D24,0),"OK","ERROR")</f>
        <v>OK</v>
      </c>
      <c r="E51" s="2" t="str">
        <f>IF(ROUND(E25,0)&gt;=ROUND(E24,0),"OK","ERROR")</f>
        <v>OK</v>
      </c>
      <c r="F51" s="2" t="str">
        <f t="shared" ref="F51:K51" si="9">IF(ROUND(F25,0)&lt;=ROUND(F24,0),"OK","ERROR")</f>
        <v>OK</v>
      </c>
      <c r="G51" s="2" t="str">
        <f t="shared" si="9"/>
        <v>OK</v>
      </c>
      <c r="H51" s="2" t="str">
        <f t="shared" si="9"/>
        <v>OK</v>
      </c>
      <c r="I51" s="2" t="str">
        <f t="shared" si="9"/>
        <v>OK</v>
      </c>
      <c r="J51" s="2" t="str">
        <f t="shared" si="9"/>
        <v>OK</v>
      </c>
      <c r="K51" s="2" t="str">
        <f t="shared" si="9"/>
        <v>OK</v>
      </c>
      <c r="L51"/>
      <c r="M51"/>
      <c r="N51"/>
      <c r="O51"/>
      <c r="P51"/>
      <c r="Q51" s="2" t="str">
        <f>IF(ROUND(Q25,0)&lt;=ROUND(Q24,0),"OK","ERROR")</f>
        <v>OK</v>
      </c>
      <c r="R51"/>
      <c r="S51" s="2" t="str">
        <f>IF(ROUND(S25,0)&lt;=ROUND(S24,0),"OK","ERROR")</f>
        <v>OK</v>
      </c>
      <c r="T51" s="2" t="str">
        <f>IF(ROUND(T25,0)&lt;=ROUND(T24,0),"OK","ERROR")</f>
        <v>OK</v>
      </c>
      <c r="U51" s="2" t="str">
        <f>IF(ROUND(U25,0)&lt;=ROUND(U24,0),"OK","ERROR")</f>
        <v>OK</v>
      </c>
      <c r="V51"/>
      <c r="W51"/>
    </row>
    <row r="52" spans="2:23" x14ac:dyDescent="0.2">
      <c r="B52" s="4" t="s">
        <v>1</v>
      </c>
      <c r="C52" s="3"/>
      <c r="D52" s="2" t="str">
        <f>IF(ROUND(D27,0)&lt;=ROUND(D26,0),"OK","ERROR")</f>
        <v>OK</v>
      </c>
      <c r="E52" s="2" t="str">
        <f>IF(ROUND(E27,0)&gt;=ROUND(E26,0),"OK","ERROR")</f>
        <v>OK</v>
      </c>
      <c r="F52" s="2" t="str">
        <f t="shared" ref="F52:K52" si="10">IF(ROUND(F27,0)&lt;=ROUND(F26,0),"OK","ERROR")</f>
        <v>OK</v>
      </c>
      <c r="G52" s="2" t="str">
        <f t="shared" si="10"/>
        <v>OK</v>
      </c>
      <c r="H52" s="2" t="str">
        <f t="shared" si="10"/>
        <v>OK</v>
      </c>
      <c r="I52" s="2" t="str">
        <f t="shared" si="10"/>
        <v>OK</v>
      </c>
      <c r="J52" s="2" t="str">
        <f t="shared" si="10"/>
        <v>OK</v>
      </c>
      <c r="K52" s="2" t="str">
        <f t="shared" si="10"/>
        <v>OK</v>
      </c>
      <c r="L52"/>
      <c r="M52"/>
      <c r="N52"/>
      <c r="O52"/>
      <c r="P52"/>
      <c r="Q52" s="2" t="str">
        <f>IF(ROUND(Q27,0)&lt;=ROUND(Q26,0),"OK","ERROR")</f>
        <v>OK</v>
      </c>
      <c r="R52"/>
      <c r="S52" s="2" t="str">
        <f>IF(ROUND(S27,0)&lt;=ROUND(S26,0),"OK","ERROR")</f>
        <v>OK</v>
      </c>
      <c r="T52" s="2" t="str">
        <f>IF(ROUND(T27,0)&lt;=ROUND(T26,0),"OK","ERROR")</f>
        <v>OK</v>
      </c>
      <c r="U52" s="2" t="str">
        <f>IF(ROUND(U27,0)&lt;=ROUND(U26,0),"OK","ERROR")</f>
        <v>OK</v>
      </c>
      <c r="V52"/>
      <c r="W52"/>
    </row>
    <row r="53" spans="2:23" x14ac:dyDescent="0.2">
      <c r="B53"/>
      <c r="C53"/>
      <c r="D53"/>
      <c r="E53"/>
      <c r="F53"/>
      <c r="G53"/>
      <c r="H53"/>
      <c r="I53"/>
      <c r="J53"/>
      <c r="K53"/>
      <c r="L53"/>
      <c r="M53"/>
      <c r="N53"/>
      <c r="O53"/>
      <c r="P53"/>
      <c r="Q53"/>
      <c r="R53"/>
      <c r="S53"/>
      <c r="T53"/>
      <c r="U53"/>
      <c r="V53"/>
      <c r="W53"/>
    </row>
    <row r="54" spans="2:23" x14ac:dyDescent="0.2">
      <c r="B54" s="4" t="s">
        <v>0</v>
      </c>
      <c r="C54" s="3"/>
      <c r="D54" s="2" t="str">
        <f>IF(ROUND(D33,0)&lt;=ROUND(D32,0),"OK","ERROR")</f>
        <v>OK</v>
      </c>
      <c r="E54" s="2" t="str">
        <f>IF(ROUND(E33,0)&gt;=ROUND(E32,0),"OK","ERROR")</f>
        <v>OK</v>
      </c>
      <c r="F54" s="2" t="str">
        <f t="shared" ref="F54:K54" si="11">IF(ROUND(F33,0)&lt;=ROUND(F32,0),"OK","ERROR")</f>
        <v>OK</v>
      </c>
      <c r="G54" s="2" t="str">
        <f t="shared" si="11"/>
        <v>OK</v>
      </c>
      <c r="H54" s="2" t="str">
        <f t="shared" si="11"/>
        <v>OK</v>
      </c>
      <c r="I54" s="2" t="str">
        <f t="shared" si="11"/>
        <v>OK</v>
      </c>
      <c r="J54" s="2" t="str">
        <f t="shared" si="11"/>
        <v>OK</v>
      </c>
      <c r="K54" s="2" t="str">
        <f t="shared" si="11"/>
        <v>OK</v>
      </c>
      <c r="L54"/>
      <c r="M54"/>
      <c r="N54"/>
      <c r="O54"/>
      <c r="P54"/>
      <c r="Q54" s="2" t="str">
        <f>IF(ROUND(Q33,0)&lt;=ROUND(Q32,0),"OK","ERROR")</f>
        <v>OK</v>
      </c>
      <c r="R54"/>
      <c r="S54" s="2" t="str">
        <f>IF(ROUND(S33,0)&lt;=ROUND(S32,0),"OK","ERROR")</f>
        <v>OK</v>
      </c>
      <c r="T54" s="2" t="str">
        <f>IF(ROUND(T33,0)&lt;=ROUND(T32,0),"OK","ERROR")</f>
        <v>OK</v>
      </c>
      <c r="U54" s="2" t="str">
        <f>IF(ROUND(U33,0)&lt;=ROUND(U32,0),"OK","ERROR")</f>
        <v>OK</v>
      </c>
      <c r="V54"/>
      <c r="W54"/>
    </row>
    <row r="55" spans="2:23" x14ac:dyDescent="0.2">
      <c r="V55"/>
      <c r="W55"/>
    </row>
  </sheetData>
  <mergeCells count="1">
    <mergeCell ref="U8:U12"/>
  </mergeCells>
  <conditionalFormatting sqref="D25">
    <cfRule type="cellIs" dxfId="6" priority="1" stopIfTrue="1" operator="equal">
      <formula>$D$49="ERROR"</formula>
    </cfRule>
  </conditionalFormatting>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colBreaks count="1" manualBreakCount="1">
    <brk id="11" max="34"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FF0000"/>
  </sheetPr>
  <dimension ref="A1:AF55"/>
  <sheetViews>
    <sheetView workbookViewId="0"/>
  </sheetViews>
  <sheetFormatPr defaultColWidth="11.42578125" defaultRowHeight="12.75" x14ac:dyDescent="0.2"/>
  <cols>
    <col min="1" max="1" width="8.42578125" style="1" customWidth="1"/>
    <col min="2" max="2" width="39.42578125" style="1" customWidth="1"/>
    <col min="3" max="3" width="4.5703125" style="1" customWidth="1"/>
    <col min="4" max="6" width="20.42578125" style="1" customWidth="1"/>
    <col min="7" max="7" width="15.5703125" style="1" customWidth="1"/>
    <col min="8" max="8" width="16.42578125" style="1" customWidth="1"/>
    <col min="9" max="9" width="15.5703125" style="1" customWidth="1"/>
    <col min="10" max="10" width="17.5703125" style="1" customWidth="1"/>
    <col min="11" max="11" width="24.5703125" style="1" customWidth="1"/>
    <col min="12" max="16" width="17.5703125" style="1" customWidth="1"/>
    <col min="17" max="20" width="20.42578125" style="1" customWidth="1"/>
    <col min="21" max="21" width="24.5703125" style="1" customWidth="1"/>
    <col min="22" max="22" width="4.5703125" style="1" customWidth="1"/>
    <col min="23" max="25" width="11.42578125" style="1" customWidth="1"/>
    <col min="26" max="26" width="21.5703125" style="1" customWidth="1"/>
    <col min="27" max="30" width="11.42578125" style="1" customWidth="1"/>
    <col min="31" max="31" width="21.5703125" style="1" customWidth="1"/>
    <col min="32" max="16384" width="11.42578125" style="1"/>
  </cols>
  <sheetData>
    <row r="1" spans="1:31" ht="25.35" customHeight="1" x14ac:dyDescent="0.25">
      <c r="A1" s="9"/>
      <c r="B1" s="9"/>
      <c r="C1" s="9"/>
      <c r="E1" s="78" t="s">
        <v>101</v>
      </c>
      <c r="G1" s="41"/>
      <c r="H1" s="41"/>
      <c r="I1" s="41"/>
      <c r="J1" s="101" t="s">
        <v>100</v>
      </c>
      <c r="K1" s="105" t="s">
        <v>114</v>
      </c>
      <c r="L1" s="41"/>
      <c r="M1" s="78" t="s">
        <v>101</v>
      </c>
      <c r="N1" s="41"/>
      <c r="O1" s="41"/>
      <c r="P1" s="41"/>
      <c r="Q1" s="41"/>
      <c r="R1" s="41"/>
      <c r="S1" s="41"/>
      <c r="T1" s="101" t="s">
        <v>100</v>
      </c>
      <c r="U1" s="105" t="str">
        <f>K1</f>
        <v>P_CRSABIS_07</v>
      </c>
      <c r="V1" s="41"/>
    </row>
    <row r="2" spans="1:31" ht="25.35" customHeight="1" x14ac:dyDescent="0.25">
      <c r="A2" s="9"/>
      <c r="B2" s="41"/>
      <c r="C2" s="9"/>
      <c r="E2" s="104" t="s">
        <v>99</v>
      </c>
      <c r="G2" s="41"/>
      <c r="H2" s="41"/>
      <c r="I2"/>
      <c r="J2" s="101" t="s">
        <v>98</v>
      </c>
      <c r="K2" s="103" t="s">
        <v>119</v>
      </c>
      <c r="L2" s="41"/>
      <c r="M2" s="104" t="s">
        <v>99</v>
      </c>
      <c r="N2" s="9"/>
      <c r="O2" s="41"/>
      <c r="P2" s="41"/>
      <c r="Q2" s="41"/>
      <c r="R2" s="41"/>
      <c r="S2" s="41"/>
      <c r="T2" s="101" t="s">
        <v>98</v>
      </c>
      <c r="U2" s="103" t="str">
        <f>K2</f>
        <v>XXXXXX</v>
      </c>
      <c r="V2" s="41"/>
    </row>
    <row r="3" spans="1:31" ht="25.35" customHeight="1" x14ac:dyDescent="0.25">
      <c r="A3" s="9"/>
      <c r="B3" s="41"/>
      <c r="C3" s="9"/>
      <c r="E3" s="102" t="s">
        <v>97</v>
      </c>
      <c r="G3" s="41"/>
      <c r="I3"/>
      <c r="J3" s="101" t="s">
        <v>96</v>
      </c>
      <c r="K3" s="100" t="s">
        <v>121</v>
      </c>
      <c r="L3" s="41"/>
      <c r="M3" s="102" t="s">
        <v>97</v>
      </c>
      <c r="N3" s="9"/>
      <c r="O3" s="41"/>
      <c r="P3" s="41"/>
      <c r="Q3" s="41"/>
      <c r="R3" s="41"/>
      <c r="S3" s="41"/>
      <c r="T3" s="101" t="s">
        <v>96</v>
      </c>
      <c r="U3" s="100" t="str">
        <f>K3</f>
        <v>DD.MM.YYYY</v>
      </c>
      <c r="V3" s="41"/>
    </row>
    <row r="4" spans="1:31" ht="25.35" customHeight="1" x14ac:dyDescent="0.25">
      <c r="A4" s="9"/>
      <c r="B4" s="41"/>
      <c r="C4" s="9"/>
      <c r="E4" s="97" t="s">
        <v>113</v>
      </c>
      <c r="H4" s="41"/>
      <c r="I4"/>
      <c r="J4" s="99"/>
      <c r="K4" s="98"/>
      <c r="L4" s="41"/>
      <c r="M4" s="97" t="s">
        <v>113</v>
      </c>
      <c r="N4" s="41"/>
      <c r="O4" s="41"/>
      <c r="P4" s="41"/>
      <c r="Q4" s="41"/>
      <c r="R4" s="41"/>
      <c r="S4" s="41"/>
      <c r="T4" s="41"/>
      <c r="U4" s="41"/>
      <c r="V4" s="41"/>
    </row>
    <row r="5" spans="1:31" ht="25.35" customHeight="1" x14ac:dyDescent="0.2">
      <c r="A5" s="9"/>
      <c r="B5" s="41"/>
      <c r="C5" s="9"/>
      <c r="E5" s="1" t="s">
        <v>94</v>
      </c>
      <c r="F5" s="41"/>
      <c r="G5" s="41"/>
      <c r="H5" s="41"/>
      <c r="I5" s="41"/>
      <c r="J5" s="41"/>
      <c r="K5" s="41"/>
      <c r="L5" s="41"/>
      <c r="M5" s="1" t="s">
        <v>94</v>
      </c>
      <c r="N5" s="41"/>
      <c r="O5" s="41"/>
      <c r="P5" s="41"/>
      <c r="Q5" s="41"/>
      <c r="R5" s="41"/>
      <c r="S5" s="41"/>
      <c r="T5" s="41"/>
      <c r="U5" s="41"/>
      <c r="V5" s="41"/>
    </row>
    <row r="6" spans="1:31" ht="25.35" customHeight="1" x14ac:dyDescent="0.2">
      <c r="A6" s="9"/>
      <c r="B6" s="41"/>
      <c r="C6" s="9"/>
      <c r="D6" s="9"/>
    </row>
    <row r="7" spans="1:31" ht="25.35" customHeight="1" x14ac:dyDescent="0.2">
      <c r="A7" s="12"/>
      <c r="B7" s="41"/>
      <c r="C7" s="12"/>
      <c r="D7" s="12"/>
      <c r="F7" s="41"/>
      <c r="G7" s="41"/>
      <c r="H7" s="41"/>
      <c r="I7" s="41"/>
      <c r="J7" s="60"/>
      <c r="K7" s="60"/>
      <c r="L7" s="41"/>
      <c r="N7" s="60"/>
      <c r="O7" s="41"/>
      <c r="P7" s="41"/>
      <c r="Q7" s="41"/>
      <c r="R7" s="41"/>
      <c r="S7" s="41"/>
      <c r="T7" s="41"/>
      <c r="U7" s="41"/>
      <c r="V7" s="60"/>
    </row>
    <row r="8" spans="1:31" ht="17.850000000000001" customHeight="1" x14ac:dyDescent="0.25">
      <c r="A8" s="96"/>
      <c r="B8" s="95"/>
      <c r="C8" s="88"/>
      <c r="D8" s="94" t="s">
        <v>93</v>
      </c>
      <c r="E8" s="94" t="s">
        <v>92</v>
      </c>
      <c r="F8" s="93" t="s">
        <v>90</v>
      </c>
      <c r="G8" s="81" t="s">
        <v>91</v>
      </c>
      <c r="H8" s="82"/>
      <c r="I8" s="82"/>
      <c r="J8" s="92"/>
      <c r="K8" s="80" t="s">
        <v>90</v>
      </c>
      <c r="L8" s="82" t="s">
        <v>89</v>
      </c>
      <c r="M8" s="91"/>
      <c r="N8" s="91"/>
      <c r="O8" s="91"/>
      <c r="P8" s="80"/>
      <c r="Q8" s="90" t="s">
        <v>88</v>
      </c>
      <c r="R8" s="90" t="s">
        <v>87</v>
      </c>
      <c r="S8" s="90" t="s">
        <v>86</v>
      </c>
      <c r="T8" s="89" t="s">
        <v>85</v>
      </c>
      <c r="U8" s="1676" t="s">
        <v>84</v>
      </c>
      <c r="V8" s="88"/>
      <c r="W8" s="71"/>
      <c r="X8" s="71"/>
      <c r="Y8" s="9"/>
      <c r="Z8" s="9"/>
    </row>
    <row r="9" spans="1:31" ht="17.850000000000001" customHeight="1" x14ac:dyDescent="0.25">
      <c r="A9" s="79"/>
      <c r="B9" s="78"/>
      <c r="C9" s="62"/>
      <c r="D9" s="77" t="s">
        <v>83</v>
      </c>
      <c r="E9" s="77" t="s">
        <v>82</v>
      </c>
      <c r="F9" s="70" t="s">
        <v>80</v>
      </c>
      <c r="G9" s="85" t="s">
        <v>81</v>
      </c>
      <c r="H9" s="87"/>
      <c r="I9" s="87"/>
      <c r="J9" s="66"/>
      <c r="K9" s="66" t="s">
        <v>80</v>
      </c>
      <c r="L9" s="86"/>
      <c r="M9" s="86"/>
      <c r="N9" s="86"/>
      <c r="O9" s="75"/>
      <c r="P9" s="72"/>
      <c r="Q9" s="63" t="s">
        <v>79</v>
      </c>
      <c r="R9" s="63" t="s">
        <v>78</v>
      </c>
      <c r="S9" s="63" t="s">
        <v>77</v>
      </c>
      <c r="T9" s="77" t="s">
        <v>76</v>
      </c>
      <c r="U9" s="1677"/>
      <c r="V9" s="62"/>
      <c r="W9" s="71"/>
      <c r="X9" s="71"/>
      <c r="Y9" s="9"/>
      <c r="Z9" s="9"/>
    </row>
    <row r="10" spans="1:31" ht="17.850000000000001" customHeight="1" x14ac:dyDescent="0.25">
      <c r="A10" s="79"/>
      <c r="B10" s="78"/>
      <c r="C10" s="62"/>
      <c r="D10" s="77" t="s">
        <v>75</v>
      </c>
      <c r="E10" s="77" t="s">
        <v>74</v>
      </c>
      <c r="F10" s="70" t="s">
        <v>73</v>
      </c>
      <c r="G10" s="85"/>
      <c r="H10" s="84"/>
      <c r="I10" s="84"/>
      <c r="J10" s="83"/>
      <c r="K10" s="66" t="s">
        <v>72</v>
      </c>
      <c r="L10" s="82" t="s">
        <v>71</v>
      </c>
      <c r="M10" s="80"/>
      <c r="N10" s="66" t="s">
        <v>70</v>
      </c>
      <c r="O10" s="81" t="s">
        <v>69</v>
      </c>
      <c r="P10" s="80"/>
      <c r="Q10" s="63" t="s">
        <v>68</v>
      </c>
      <c r="R10" s="63" t="s">
        <v>67</v>
      </c>
      <c r="S10" s="63" t="s">
        <v>66</v>
      </c>
      <c r="T10" s="63"/>
      <c r="U10" s="1677"/>
      <c r="V10" s="62"/>
      <c r="W10" s="71"/>
      <c r="X10" s="71"/>
      <c r="Y10" s="9"/>
      <c r="Z10" s="9"/>
    </row>
    <row r="11" spans="1:31" ht="17.850000000000001" customHeight="1" x14ac:dyDescent="0.25">
      <c r="A11" s="79"/>
      <c r="B11" s="78"/>
      <c r="C11" s="62"/>
      <c r="D11" s="77"/>
      <c r="E11" s="77" t="s">
        <v>65</v>
      </c>
      <c r="F11" s="70" t="s">
        <v>64</v>
      </c>
      <c r="G11" s="76"/>
      <c r="H11" s="75"/>
      <c r="I11" s="74"/>
      <c r="J11" s="72"/>
      <c r="K11" s="66" t="s">
        <v>63</v>
      </c>
      <c r="L11" s="74" t="s">
        <v>62</v>
      </c>
      <c r="M11" s="72"/>
      <c r="N11" s="72" t="s">
        <v>61</v>
      </c>
      <c r="O11" s="73" t="s">
        <v>60</v>
      </c>
      <c r="P11" s="72"/>
      <c r="Q11" s="63" t="s">
        <v>59</v>
      </c>
      <c r="R11" s="63" t="s">
        <v>58</v>
      </c>
      <c r="T11" s="63"/>
      <c r="U11" s="1677"/>
      <c r="V11" s="62"/>
      <c r="W11" s="71"/>
      <c r="X11" s="71"/>
      <c r="Y11" s="9"/>
      <c r="Z11" s="9"/>
    </row>
    <row r="12" spans="1:31" ht="85.35" customHeight="1" x14ac:dyDescent="0.2">
      <c r="A12" s="9"/>
      <c r="B12" s="9"/>
      <c r="C12" s="62"/>
      <c r="D12" s="63"/>
      <c r="E12" s="63" t="s">
        <v>57</v>
      </c>
      <c r="F12" s="70" t="s">
        <v>56</v>
      </c>
      <c r="G12" s="69" t="s">
        <v>34</v>
      </c>
      <c r="H12" s="67">
        <v>0.2</v>
      </c>
      <c r="I12" s="68">
        <v>0.5</v>
      </c>
      <c r="J12" s="67">
        <v>1</v>
      </c>
      <c r="K12" s="66" t="s">
        <v>55</v>
      </c>
      <c r="L12" s="65" t="s">
        <v>54</v>
      </c>
      <c r="M12" s="64" t="s">
        <v>53</v>
      </c>
      <c r="N12" s="64" t="s">
        <v>52</v>
      </c>
      <c r="O12" s="63" t="s">
        <v>51</v>
      </c>
      <c r="P12" s="63" t="s">
        <v>50</v>
      </c>
      <c r="Q12" s="63" t="s">
        <v>49</v>
      </c>
      <c r="R12" s="63" t="s">
        <v>48</v>
      </c>
      <c r="S12" s="63"/>
      <c r="T12" s="63"/>
      <c r="U12" s="1677"/>
      <c r="V12" s="62"/>
      <c r="W12" s="61"/>
      <c r="X12" s="61"/>
      <c r="Y12" s="61"/>
      <c r="Z12" s="61"/>
    </row>
    <row r="13" spans="1:31" ht="25.35" customHeight="1" x14ac:dyDescent="0.2">
      <c r="A13" s="41"/>
      <c r="B13" s="60"/>
      <c r="C13" s="58"/>
      <c r="D13" s="59" t="s">
        <v>22</v>
      </c>
      <c r="E13" s="59" t="s">
        <v>21</v>
      </c>
      <c r="F13" s="59" t="s">
        <v>20</v>
      </c>
      <c r="G13" s="59" t="s">
        <v>19</v>
      </c>
      <c r="H13" s="59" t="s">
        <v>18</v>
      </c>
      <c r="I13" s="59" t="s">
        <v>17</v>
      </c>
      <c r="J13" s="59" t="s">
        <v>16</v>
      </c>
      <c r="K13" s="59" t="s">
        <v>15</v>
      </c>
      <c r="L13" s="59" t="s">
        <v>14</v>
      </c>
      <c r="M13" s="59" t="s">
        <v>13</v>
      </c>
      <c r="N13" s="59" t="s">
        <v>12</v>
      </c>
      <c r="O13" s="59" t="s">
        <v>11</v>
      </c>
      <c r="P13" s="59" t="s">
        <v>10</v>
      </c>
      <c r="Q13" s="59" t="s">
        <v>9</v>
      </c>
      <c r="R13" s="59" t="s">
        <v>8</v>
      </c>
      <c r="S13" s="59" t="s">
        <v>7</v>
      </c>
      <c r="T13" s="59" t="s">
        <v>6</v>
      </c>
      <c r="U13" s="59" t="s">
        <v>5</v>
      </c>
      <c r="V13" s="58"/>
      <c r="X13" s="9" t="s">
        <v>47</v>
      </c>
      <c r="Y13" s="9" t="s">
        <v>46</v>
      </c>
      <c r="Z13" s="9" t="s">
        <v>45</v>
      </c>
      <c r="AA13" s="9" t="s">
        <v>44</v>
      </c>
      <c r="AB13" s="9" t="s">
        <v>43</v>
      </c>
      <c r="AC13" s="9" t="s">
        <v>42</v>
      </c>
      <c r="AD13" s="9" t="s">
        <v>41</v>
      </c>
      <c r="AE13" s="9" t="s">
        <v>40</v>
      </c>
    </row>
    <row r="14" spans="1:31" ht="25.35" customHeight="1" thickBot="1" x14ac:dyDescent="0.25">
      <c r="A14" s="57"/>
      <c r="B14" s="56" t="s">
        <v>39</v>
      </c>
      <c r="C14" s="31">
        <v>1</v>
      </c>
      <c r="D14" s="32">
        <f>SUM(D19:D21,D23:D24,D26,D28,D32,D34)</f>
        <v>0</v>
      </c>
      <c r="E14" s="32">
        <f>SUM(E19:E21,E23:E24,E26,E28,E32,E34)</f>
        <v>0</v>
      </c>
      <c r="F14" s="32">
        <f>D14+E14</f>
        <v>0</v>
      </c>
      <c r="G14" s="32">
        <f>SUM(G19:G21,G23:G24,G26,G28,G32,G34)</f>
        <v>0</v>
      </c>
      <c r="H14" s="32">
        <f>SUM(H19:H21,H23:H24,H26,H28,H32,H34)</f>
        <v>0</v>
      </c>
      <c r="I14" s="32">
        <f>SUM(I19:I21,I23:I24,I26,I28,I32,I34)</f>
        <v>0</v>
      </c>
      <c r="J14" s="32">
        <f>SUM(J19:J21,J23:J24,J26,J28,J32,J34)</f>
        <v>0</v>
      </c>
      <c r="K14" s="55">
        <f>F14-G14-0.8*H14-0.5*I14</f>
        <v>0</v>
      </c>
      <c r="L14" s="54"/>
      <c r="M14" s="33"/>
      <c r="N14" s="37"/>
      <c r="O14" s="32">
        <f>(L14+M14+N14)*-1</f>
        <v>0</v>
      </c>
      <c r="P14" s="33"/>
      <c r="Q14" s="32">
        <f>SUM(Q19:Q21,Q23:Q24,Q26,Q28,Q32,Q34)</f>
        <v>0</v>
      </c>
      <c r="R14" s="33"/>
      <c r="S14" s="32">
        <f>SUM(S19:S21,S23:S24,S26,S28,S32,S34)</f>
        <v>0</v>
      </c>
      <c r="T14" s="32">
        <f>SUM(T19:T21,T23:T24,T26,T28,T32,T34)</f>
        <v>0</v>
      </c>
      <c r="U14" s="32">
        <f>T14*0.08</f>
        <v>0</v>
      </c>
      <c r="V14" s="31">
        <v>1</v>
      </c>
      <c r="W14" s="23"/>
      <c r="X14" s="53" t="str">
        <f>IF(D14&gt;=0,"OK","ERROR")</f>
        <v>OK</v>
      </c>
      <c r="Y14" s="53" t="str">
        <f>IF(E14&lt;=0,"OK","ERROR")</f>
        <v>OK</v>
      </c>
      <c r="Z14" s="53" t="str">
        <f>IF(MIN(F14:N14)&gt;=0,"OK","ERROR")</f>
        <v>OK</v>
      </c>
      <c r="AA14" s="53" t="str">
        <f>IF(O14&lt;=0,"OK","ERROR")</f>
        <v>OK</v>
      </c>
      <c r="AB14" s="53" t="str">
        <f>IF(P14&gt;=0,"OK","ERROR")</f>
        <v>OK</v>
      </c>
      <c r="AC14" s="53" t="str">
        <f>IF(Q14&gt;=0,"OK","ERROR")</f>
        <v>OK</v>
      </c>
      <c r="AD14" s="53" t="str">
        <f>IF(R14&lt;=0,"OK","ERROR")</f>
        <v>OK</v>
      </c>
      <c r="AE14" s="53" t="str">
        <f>IF(MIN(S14:U14)&gt;=0,"OK","ERROR")</f>
        <v>OK</v>
      </c>
    </row>
    <row r="15" spans="1:31" ht="37.5" customHeight="1" thickTop="1" x14ac:dyDescent="0.2">
      <c r="A15" s="39"/>
      <c r="B15" s="47" t="s">
        <v>38</v>
      </c>
      <c r="C15" s="31"/>
      <c r="D15" s="46"/>
      <c r="E15" s="46"/>
      <c r="F15" s="46"/>
      <c r="G15" s="46"/>
      <c r="H15" s="46"/>
      <c r="I15" s="46"/>
      <c r="J15" s="46"/>
      <c r="K15" s="46"/>
      <c r="L15" s="46"/>
      <c r="M15" s="46"/>
      <c r="N15" s="46"/>
      <c r="O15" s="46"/>
      <c r="P15" s="46"/>
      <c r="Q15" s="46"/>
      <c r="R15" s="46"/>
      <c r="S15" s="46"/>
      <c r="T15" s="46"/>
      <c r="U15" s="46"/>
      <c r="V15" s="31"/>
      <c r="W15" s="45"/>
      <c r="X15" s="52"/>
      <c r="Y15" s="52"/>
      <c r="Z15" s="52"/>
      <c r="AA15" s="9"/>
      <c r="AB15" s="51"/>
      <c r="AC15" s="9"/>
      <c r="AD15" s="9"/>
      <c r="AE15" s="50"/>
    </row>
    <row r="16" spans="1:31" ht="25.35" customHeight="1" thickBot="1" x14ac:dyDescent="0.25">
      <c r="A16" s="39"/>
      <c r="B16" s="48" t="s">
        <v>37</v>
      </c>
      <c r="C16" s="31">
        <v>2</v>
      </c>
      <c r="D16" s="33"/>
      <c r="E16" s="33"/>
      <c r="F16" s="32">
        <f>D16+E16</f>
        <v>0</v>
      </c>
      <c r="G16" s="34"/>
      <c r="H16" s="34"/>
      <c r="I16" s="34"/>
      <c r="J16" s="49"/>
      <c r="K16" s="36">
        <f>F16</f>
        <v>0</v>
      </c>
      <c r="L16" s="35"/>
      <c r="M16" s="34"/>
      <c r="N16" s="34"/>
      <c r="O16" s="34"/>
      <c r="P16" s="34"/>
      <c r="Q16" s="33"/>
      <c r="R16" s="34"/>
      <c r="S16" s="33"/>
      <c r="T16" s="33"/>
      <c r="U16" s="32">
        <f>T16*0.08</f>
        <v>0</v>
      </c>
      <c r="V16" s="31">
        <v>2</v>
      </c>
      <c r="W16" s="23"/>
      <c r="X16" s="2" t="str">
        <f>IF(D16&gt;=0,"OK","ERROR")</f>
        <v>OK</v>
      </c>
      <c r="Y16" s="2" t="str">
        <f>IF(E16&lt;=0,"OK","ERROR")</f>
        <v>OK</v>
      </c>
      <c r="Z16" s="2" t="str">
        <f>IF(MIN(F16:N16)&gt;=0,"OK","ERROR")</f>
        <v>OK</v>
      </c>
      <c r="AA16" s="9"/>
      <c r="AB16" s="9"/>
      <c r="AC16" s="2" t="str">
        <f>IF(Q16&gt;=0,"OK","ERROR")</f>
        <v>OK</v>
      </c>
      <c r="AD16" s="9"/>
      <c r="AE16" s="2" t="str">
        <f>IF(MIN(S16:U16)&gt;=0,"OK","ERROR")</f>
        <v>OK</v>
      </c>
    </row>
    <row r="17" spans="1:32" ht="25.35" customHeight="1" thickTop="1" thickBot="1" x14ac:dyDescent="0.25">
      <c r="A17" s="39"/>
      <c r="B17" s="48" t="s">
        <v>36</v>
      </c>
      <c r="C17" s="31">
        <v>3</v>
      </c>
      <c r="D17" s="33"/>
      <c r="E17" s="33"/>
      <c r="F17" s="32">
        <f>D17+E17</f>
        <v>0</v>
      </c>
      <c r="G17" s="33"/>
      <c r="H17" s="33"/>
      <c r="I17" s="33"/>
      <c r="J17" s="37"/>
      <c r="K17" s="36">
        <f>F17-G17-0.8*H17-0.5*I17</f>
        <v>0</v>
      </c>
      <c r="L17" s="35"/>
      <c r="M17" s="34"/>
      <c r="N17" s="34"/>
      <c r="O17" s="34"/>
      <c r="P17" s="34"/>
      <c r="Q17" s="33"/>
      <c r="R17" s="34"/>
      <c r="S17" s="33"/>
      <c r="T17" s="33"/>
      <c r="U17" s="32">
        <f>T17*0.08</f>
        <v>0</v>
      </c>
      <c r="V17" s="31">
        <v>3</v>
      </c>
      <c r="W17" s="23"/>
      <c r="X17" s="2" t="str">
        <f>IF(D17&gt;=0,"OK","ERROR")</f>
        <v>OK</v>
      </c>
      <c r="Y17" s="2" t="str">
        <f>IF(E17&lt;=0,"OK","ERROR")</f>
        <v>OK</v>
      </c>
      <c r="Z17" s="2" t="str">
        <f>IF(MIN(F17:N17)&gt;=0,"OK","ERROR")</f>
        <v>OK</v>
      </c>
      <c r="AA17" s="9"/>
      <c r="AB17" s="9"/>
      <c r="AC17" s="2" t="str">
        <f>IF(Q17&gt;=0,"OK","ERROR")</f>
        <v>OK</v>
      </c>
      <c r="AD17" s="9"/>
      <c r="AE17" s="2" t="str">
        <f>IF(MIN(S17:U17)&gt;=0,"OK","ERROR")</f>
        <v>OK</v>
      </c>
    </row>
    <row r="18" spans="1:32" ht="55.35" customHeight="1" thickTop="1" x14ac:dyDescent="0.2">
      <c r="A18" s="39"/>
      <c r="B18" s="47" t="s">
        <v>35</v>
      </c>
      <c r="C18" s="31"/>
      <c r="D18" s="46"/>
      <c r="E18" s="46"/>
      <c r="F18" s="46"/>
      <c r="G18" s="46"/>
      <c r="H18" s="46"/>
      <c r="I18" s="46"/>
      <c r="J18" s="46"/>
      <c r="K18" s="46"/>
      <c r="L18" s="46"/>
      <c r="M18" s="46"/>
      <c r="N18" s="46"/>
      <c r="O18" s="46"/>
      <c r="P18" s="46"/>
      <c r="Q18" s="46"/>
      <c r="R18" s="46"/>
      <c r="S18" s="46"/>
      <c r="T18" s="46"/>
      <c r="U18" s="46"/>
      <c r="V18" s="31"/>
      <c r="W18" s="45"/>
      <c r="X18" s="24"/>
      <c r="Y18" s="27"/>
      <c r="Z18" s="44"/>
      <c r="AA18" s="9"/>
      <c r="AB18" s="9"/>
      <c r="AC18" s="9"/>
      <c r="AD18" s="9"/>
      <c r="AE18" s="9"/>
      <c r="AF18" s="9"/>
    </row>
    <row r="19" spans="1:32" ht="25.35" customHeight="1" thickBot="1" x14ac:dyDescent="0.25">
      <c r="A19" s="39"/>
      <c r="B19" s="43" t="s">
        <v>34</v>
      </c>
      <c r="C19" s="31">
        <v>4</v>
      </c>
      <c r="D19" s="33"/>
      <c r="E19" s="33"/>
      <c r="F19" s="32">
        <f t="shared" ref="F19:F34" si="0">D19+E19</f>
        <v>0</v>
      </c>
      <c r="G19" s="33"/>
      <c r="H19" s="33"/>
      <c r="I19" s="33"/>
      <c r="J19" s="37"/>
      <c r="K19" s="36">
        <f t="shared" ref="K19:K34" si="1">F19-G19-0.8*H19-0.5*I19</f>
        <v>0</v>
      </c>
      <c r="L19" s="35"/>
      <c r="M19" s="34"/>
      <c r="N19" s="34"/>
      <c r="O19" s="34"/>
      <c r="P19" s="34"/>
      <c r="Q19" s="33"/>
      <c r="R19" s="34"/>
      <c r="S19" s="33"/>
      <c r="T19" s="34"/>
      <c r="U19" s="34"/>
      <c r="V19" s="31">
        <v>4</v>
      </c>
      <c r="W19" s="23"/>
      <c r="X19" s="2" t="str">
        <f t="shared" ref="X19:X34" si="2">IF(D19&gt;=0,"OK","ERROR")</f>
        <v>OK</v>
      </c>
      <c r="Y19" s="2" t="str">
        <f t="shared" ref="Y19:Y34" si="3">IF(E19&lt;=0,"OK","ERROR")</f>
        <v>OK</v>
      </c>
      <c r="Z19" s="2" t="str">
        <f t="shared" ref="Z19:Z34" si="4">IF(MIN(F19:N19)&gt;=0,"OK","ERROR")</f>
        <v>OK</v>
      </c>
      <c r="AA19" s="9"/>
      <c r="AB19" s="9"/>
      <c r="AC19" s="2" t="str">
        <f t="shared" ref="AC19:AC34" si="5">IF(Q19&gt;=0,"OK","ERROR")</f>
        <v>OK</v>
      </c>
      <c r="AD19" s="9"/>
      <c r="AE19" s="2" t="str">
        <f t="shared" ref="AE19:AE34" si="6">IF(MIN(S19:U19)&gt;=0,"OK","ERROR")</f>
        <v>OK</v>
      </c>
    </row>
    <row r="20" spans="1:32" ht="25.35" customHeight="1" thickTop="1" thickBot="1" x14ac:dyDescent="0.25">
      <c r="A20" s="39"/>
      <c r="B20" s="38">
        <v>0.1</v>
      </c>
      <c r="C20" s="31">
        <v>19</v>
      </c>
      <c r="D20" s="33"/>
      <c r="E20" s="33"/>
      <c r="F20" s="32">
        <f t="shared" si="0"/>
        <v>0</v>
      </c>
      <c r="G20" s="33"/>
      <c r="H20" s="33"/>
      <c r="I20" s="33"/>
      <c r="J20" s="37"/>
      <c r="K20" s="36">
        <f t="shared" si="1"/>
        <v>0</v>
      </c>
      <c r="L20" s="35"/>
      <c r="M20" s="34"/>
      <c r="N20" s="34"/>
      <c r="O20" s="34"/>
      <c r="P20" s="34"/>
      <c r="Q20" s="33"/>
      <c r="R20" s="34"/>
      <c r="S20" s="33"/>
      <c r="T20" s="32">
        <f>S20*0.1</f>
        <v>0</v>
      </c>
      <c r="U20" s="32">
        <f t="shared" ref="U20:U34" si="7">T20*0.08</f>
        <v>0</v>
      </c>
      <c r="V20" s="31">
        <v>19</v>
      </c>
      <c r="W20" s="23"/>
      <c r="X20" s="2" t="str">
        <f t="shared" si="2"/>
        <v>OK</v>
      </c>
      <c r="Y20" s="2" t="str">
        <f t="shared" si="3"/>
        <v>OK</v>
      </c>
      <c r="Z20" s="2" t="str">
        <f t="shared" si="4"/>
        <v>OK</v>
      </c>
      <c r="AA20" s="9"/>
      <c r="AB20" s="9"/>
      <c r="AC20" s="2" t="str">
        <f t="shared" si="5"/>
        <v>OK</v>
      </c>
      <c r="AD20" s="9"/>
      <c r="AE20" s="2" t="str">
        <f t="shared" si="6"/>
        <v>OK</v>
      </c>
    </row>
    <row r="21" spans="1:32" ht="25.35" customHeight="1" thickTop="1" thickBot="1" x14ac:dyDescent="0.25">
      <c r="A21" s="39"/>
      <c r="B21" s="38" t="s">
        <v>33</v>
      </c>
      <c r="C21" s="31">
        <v>5</v>
      </c>
      <c r="D21" s="33"/>
      <c r="E21" s="33"/>
      <c r="F21" s="32">
        <f t="shared" si="0"/>
        <v>0</v>
      </c>
      <c r="G21" s="33"/>
      <c r="H21" s="33"/>
      <c r="I21" s="33"/>
      <c r="J21" s="37"/>
      <c r="K21" s="36">
        <f t="shared" si="1"/>
        <v>0</v>
      </c>
      <c r="L21" s="35"/>
      <c r="M21" s="34"/>
      <c r="N21" s="34"/>
      <c r="O21" s="34"/>
      <c r="P21" s="34"/>
      <c r="Q21" s="33"/>
      <c r="R21" s="34"/>
      <c r="S21" s="33"/>
      <c r="T21" s="32">
        <f>S21*0.2</f>
        <v>0</v>
      </c>
      <c r="U21" s="32">
        <f t="shared" si="7"/>
        <v>0</v>
      </c>
      <c r="V21" s="31">
        <v>5</v>
      </c>
      <c r="W21" s="23"/>
      <c r="X21" s="2" t="str">
        <f t="shared" si="2"/>
        <v>OK</v>
      </c>
      <c r="Y21" s="2" t="str">
        <f t="shared" si="3"/>
        <v>OK</v>
      </c>
      <c r="Z21" s="2" t="str">
        <f t="shared" si="4"/>
        <v>OK</v>
      </c>
      <c r="AA21" s="9"/>
      <c r="AB21" s="9"/>
      <c r="AC21" s="2" t="str">
        <f t="shared" si="5"/>
        <v>OK</v>
      </c>
      <c r="AD21" s="9"/>
      <c r="AE21" s="2" t="str">
        <f t="shared" si="6"/>
        <v>OK</v>
      </c>
    </row>
    <row r="22" spans="1:32" ht="25.35" customHeight="1" thickTop="1" thickBot="1" x14ac:dyDescent="0.25">
      <c r="A22" s="42"/>
      <c r="B22" s="38" t="s">
        <v>29</v>
      </c>
      <c r="C22" s="31">
        <v>6</v>
      </c>
      <c r="D22" s="33"/>
      <c r="E22" s="33"/>
      <c r="F22" s="32">
        <f t="shared" si="0"/>
        <v>0</v>
      </c>
      <c r="G22" s="33"/>
      <c r="H22" s="33"/>
      <c r="I22" s="33"/>
      <c r="J22" s="37"/>
      <c r="K22" s="36">
        <f t="shared" si="1"/>
        <v>0</v>
      </c>
      <c r="L22" s="35"/>
      <c r="M22" s="34"/>
      <c r="N22" s="34"/>
      <c r="O22" s="34"/>
      <c r="P22" s="34"/>
      <c r="Q22" s="33"/>
      <c r="R22" s="34"/>
      <c r="S22" s="33"/>
      <c r="T22" s="32">
        <f>S22*0.2</f>
        <v>0</v>
      </c>
      <c r="U22" s="32">
        <f t="shared" si="7"/>
        <v>0</v>
      </c>
      <c r="V22" s="31">
        <v>6</v>
      </c>
      <c r="W22" s="23"/>
      <c r="X22" s="2" t="str">
        <f t="shared" si="2"/>
        <v>OK</v>
      </c>
      <c r="Y22" s="2" t="str">
        <f t="shared" si="3"/>
        <v>OK</v>
      </c>
      <c r="Z22" s="2" t="str">
        <f t="shared" si="4"/>
        <v>OK</v>
      </c>
      <c r="AA22" s="9"/>
      <c r="AB22" s="9"/>
      <c r="AC22" s="2" t="str">
        <f t="shared" si="5"/>
        <v>OK</v>
      </c>
      <c r="AD22" s="9"/>
      <c r="AE22" s="2" t="str">
        <f t="shared" si="6"/>
        <v>OK</v>
      </c>
    </row>
    <row r="23" spans="1:32" ht="20.85" customHeight="1" thickTop="1" thickBot="1" x14ac:dyDescent="0.25">
      <c r="A23" s="41"/>
      <c r="B23" s="38">
        <v>0.35</v>
      </c>
      <c r="C23" s="31">
        <v>7</v>
      </c>
      <c r="D23" s="33"/>
      <c r="E23" s="33"/>
      <c r="F23" s="32">
        <f t="shared" si="0"/>
        <v>0</v>
      </c>
      <c r="G23" s="33"/>
      <c r="H23" s="33"/>
      <c r="I23" s="33"/>
      <c r="J23" s="37"/>
      <c r="K23" s="36">
        <f t="shared" si="1"/>
        <v>0</v>
      </c>
      <c r="L23" s="35"/>
      <c r="M23" s="34"/>
      <c r="N23" s="34"/>
      <c r="O23" s="34"/>
      <c r="P23" s="34"/>
      <c r="Q23" s="33"/>
      <c r="R23" s="34"/>
      <c r="S23" s="33"/>
      <c r="T23" s="32">
        <f>S23*0.35</f>
        <v>0</v>
      </c>
      <c r="U23" s="32">
        <f t="shared" si="7"/>
        <v>0</v>
      </c>
      <c r="V23" s="31">
        <v>7</v>
      </c>
      <c r="W23" s="23"/>
      <c r="X23" s="2" t="str">
        <f t="shared" si="2"/>
        <v>OK</v>
      </c>
      <c r="Y23" s="2" t="str">
        <f t="shared" si="3"/>
        <v>OK</v>
      </c>
      <c r="Z23" s="2" t="str">
        <f t="shared" si="4"/>
        <v>OK</v>
      </c>
      <c r="AA23" s="9"/>
      <c r="AB23" s="9"/>
      <c r="AC23" s="2" t="str">
        <f t="shared" si="5"/>
        <v>OK</v>
      </c>
      <c r="AD23" s="9"/>
      <c r="AE23" s="2" t="str">
        <f t="shared" si="6"/>
        <v>OK</v>
      </c>
    </row>
    <row r="24" spans="1:32" ht="25.35" customHeight="1" thickTop="1" thickBot="1" x14ac:dyDescent="0.25">
      <c r="A24" s="39"/>
      <c r="B24" s="38" t="s">
        <v>32</v>
      </c>
      <c r="C24" s="31">
        <v>8</v>
      </c>
      <c r="D24" s="33"/>
      <c r="E24" s="33"/>
      <c r="F24" s="32">
        <f t="shared" si="0"/>
        <v>0</v>
      </c>
      <c r="G24" s="33"/>
      <c r="H24" s="33"/>
      <c r="I24" s="33"/>
      <c r="J24" s="37"/>
      <c r="K24" s="36">
        <f t="shared" si="1"/>
        <v>0</v>
      </c>
      <c r="L24" s="35"/>
      <c r="M24" s="34"/>
      <c r="N24" s="34"/>
      <c r="O24" s="34"/>
      <c r="P24" s="34"/>
      <c r="Q24" s="33"/>
      <c r="R24" s="34"/>
      <c r="S24" s="33"/>
      <c r="T24" s="32">
        <f>S24*0.5</f>
        <v>0</v>
      </c>
      <c r="U24" s="32">
        <f t="shared" si="7"/>
        <v>0</v>
      </c>
      <c r="V24" s="31">
        <v>8</v>
      </c>
      <c r="W24" s="23"/>
      <c r="X24" s="2" t="str">
        <f t="shared" si="2"/>
        <v>OK</v>
      </c>
      <c r="Y24" s="2" t="str">
        <f t="shared" si="3"/>
        <v>OK</v>
      </c>
      <c r="Z24" s="2" t="str">
        <f t="shared" si="4"/>
        <v>OK</v>
      </c>
      <c r="AA24" s="9"/>
      <c r="AB24" s="9"/>
      <c r="AC24" s="2" t="str">
        <f t="shared" si="5"/>
        <v>OK</v>
      </c>
      <c r="AD24" s="9"/>
      <c r="AE24" s="2" t="str">
        <f t="shared" si="6"/>
        <v>OK</v>
      </c>
    </row>
    <row r="25" spans="1:32" ht="25.35" customHeight="1" thickTop="1" thickBot="1" x14ac:dyDescent="0.25">
      <c r="A25" s="39"/>
      <c r="B25" s="38" t="s">
        <v>29</v>
      </c>
      <c r="C25" s="31">
        <v>9</v>
      </c>
      <c r="D25" s="33"/>
      <c r="E25" s="33"/>
      <c r="F25" s="32">
        <f t="shared" si="0"/>
        <v>0</v>
      </c>
      <c r="G25" s="33"/>
      <c r="H25" s="33"/>
      <c r="I25" s="33"/>
      <c r="J25" s="37"/>
      <c r="K25" s="36">
        <f t="shared" si="1"/>
        <v>0</v>
      </c>
      <c r="L25" s="35"/>
      <c r="M25" s="34"/>
      <c r="N25" s="34"/>
      <c r="O25" s="34"/>
      <c r="P25" s="34"/>
      <c r="Q25" s="33"/>
      <c r="R25" s="34"/>
      <c r="S25" s="33"/>
      <c r="T25" s="32">
        <f>S25*0.5</f>
        <v>0</v>
      </c>
      <c r="U25" s="32">
        <f t="shared" si="7"/>
        <v>0</v>
      </c>
      <c r="V25" s="31">
        <v>9</v>
      </c>
      <c r="W25" s="23"/>
      <c r="X25" s="2" t="str">
        <f t="shared" si="2"/>
        <v>OK</v>
      </c>
      <c r="Y25" s="2" t="str">
        <f t="shared" si="3"/>
        <v>OK</v>
      </c>
      <c r="Z25" s="2" t="str">
        <f t="shared" si="4"/>
        <v>OK</v>
      </c>
      <c r="AA25" s="9"/>
      <c r="AB25" s="9"/>
      <c r="AC25" s="2" t="str">
        <f t="shared" si="5"/>
        <v>OK</v>
      </c>
      <c r="AD25" s="9"/>
      <c r="AE25" s="2" t="str">
        <f t="shared" si="6"/>
        <v>OK</v>
      </c>
    </row>
    <row r="26" spans="1:32" ht="25.35" customHeight="1" thickTop="1" thickBot="1" x14ac:dyDescent="0.25">
      <c r="A26" s="39"/>
      <c r="B26" s="38" t="s">
        <v>31</v>
      </c>
      <c r="C26" s="31">
        <v>11</v>
      </c>
      <c r="D26" s="33"/>
      <c r="E26" s="33"/>
      <c r="F26" s="32">
        <f t="shared" si="0"/>
        <v>0</v>
      </c>
      <c r="G26" s="33"/>
      <c r="H26" s="33"/>
      <c r="I26" s="33"/>
      <c r="J26" s="37"/>
      <c r="K26" s="36">
        <f t="shared" si="1"/>
        <v>0</v>
      </c>
      <c r="L26" s="35"/>
      <c r="M26" s="34"/>
      <c r="N26" s="34"/>
      <c r="O26" s="34"/>
      <c r="P26" s="34"/>
      <c r="Q26" s="33"/>
      <c r="R26" s="34"/>
      <c r="S26" s="33"/>
      <c r="T26" s="32">
        <f>S26*0.75</f>
        <v>0</v>
      </c>
      <c r="U26" s="32">
        <f t="shared" si="7"/>
        <v>0</v>
      </c>
      <c r="V26" s="31">
        <v>11</v>
      </c>
      <c r="W26" s="23"/>
      <c r="X26" s="2" t="str">
        <f t="shared" si="2"/>
        <v>OK</v>
      </c>
      <c r="Y26" s="2" t="str">
        <f t="shared" si="3"/>
        <v>OK</v>
      </c>
      <c r="Z26" s="2" t="str">
        <f t="shared" si="4"/>
        <v>OK</v>
      </c>
      <c r="AA26" s="9"/>
      <c r="AB26" s="9"/>
      <c r="AC26" s="2" t="str">
        <f t="shared" si="5"/>
        <v>OK</v>
      </c>
      <c r="AD26" s="9"/>
      <c r="AE26" s="2" t="str">
        <f t="shared" si="6"/>
        <v>OK</v>
      </c>
    </row>
    <row r="27" spans="1:32" ht="25.35" customHeight="1" thickTop="1" thickBot="1" x14ac:dyDescent="0.25">
      <c r="A27" s="39"/>
      <c r="B27" s="40" t="s">
        <v>28</v>
      </c>
      <c r="C27" s="31">
        <v>20</v>
      </c>
      <c r="D27" s="33"/>
      <c r="E27" s="33"/>
      <c r="F27" s="32">
        <f t="shared" si="0"/>
        <v>0</v>
      </c>
      <c r="G27" s="33"/>
      <c r="H27" s="33"/>
      <c r="I27" s="33"/>
      <c r="J27" s="37"/>
      <c r="K27" s="36">
        <f t="shared" si="1"/>
        <v>0</v>
      </c>
      <c r="L27" s="35"/>
      <c r="M27" s="34"/>
      <c r="N27" s="34"/>
      <c r="O27" s="34"/>
      <c r="P27" s="34"/>
      <c r="Q27" s="33"/>
      <c r="R27" s="34"/>
      <c r="S27" s="33"/>
      <c r="T27" s="32">
        <f>S27*0.75</f>
        <v>0</v>
      </c>
      <c r="U27" s="32">
        <f t="shared" si="7"/>
        <v>0</v>
      </c>
      <c r="V27" s="31">
        <v>20</v>
      </c>
      <c r="W27" s="23"/>
      <c r="X27" s="2" t="str">
        <f t="shared" si="2"/>
        <v>OK</v>
      </c>
      <c r="Y27" s="2" t="str">
        <f t="shared" si="3"/>
        <v>OK</v>
      </c>
      <c r="Z27" s="2" t="str">
        <f t="shared" si="4"/>
        <v>OK</v>
      </c>
      <c r="AA27" s="9"/>
      <c r="AB27" s="9"/>
      <c r="AC27" s="2" t="str">
        <f t="shared" si="5"/>
        <v>OK</v>
      </c>
      <c r="AD27" s="9"/>
      <c r="AE27" s="2" t="str">
        <f t="shared" si="6"/>
        <v>OK</v>
      </c>
    </row>
    <row r="28" spans="1:32" ht="24.6" customHeight="1" thickTop="1" thickBot="1" x14ac:dyDescent="0.25">
      <c r="A28" s="39"/>
      <c r="B28" s="38" t="s">
        <v>30</v>
      </c>
      <c r="C28" s="31">
        <v>12</v>
      </c>
      <c r="D28" s="33"/>
      <c r="E28" s="33"/>
      <c r="F28" s="32">
        <f t="shared" si="0"/>
        <v>0</v>
      </c>
      <c r="G28" s="33"/>
      <c r="H28" s="33"/>
      <c r="I28" s="33"/>
      <c r="J28" s="37"/>
      <c r="K28" s="36">
        <f t="shared" si="1"/>
        <v>0</v>
      </c>
      <c r="L28" s="35"/>
      <c r="M28" s="34"/>
      <c r="N28" s="34"/>
      <c r="O28" s="34"/>
      <c r="P28" s="34"/>
      <c r="Q28" s="33"/>
      <c r="R28" s="34"/>
      <c r="S28" s="33"/>
      <c r="T28" s="32">
        <f>S28*1</f>
        <v>0</v>
      </c>
      <c r="U28" s="32">
        <f t="shared" si="7"/>
        <v>0</v>
      </c>
      <c r="V28" s="31">
        <v>12</v>
      </c>
      <c r="W28" s="23"/>
      <c r="X28" s="2" t="str">
        <f t="shared" si="2"/>
        <v>OK</v>
      </c>
      <c r="Y28" s="2" t="str">
        <f t="shared" si="3"/>
        <v>OK</v>
      </c>
      <c r="Z28" s="2" t="str">
        <f t="shared" si="4"/>
        <v>OK</v>
      </c>
      <c r="AA28" s="9"/>
      <c r="AB28" s="9"/>
      <c r="AC28" s="2" t="str">
        <f t="shared" si="5"/>
        <v>OK</v>
      </c>
      <c r="AD28" s="9"/>
      <c r="AE28" s="2" t="str">
        <f t="shared" si="6"/>
        <v>OK</v>
      </c>
    </row>
    <row r="29" spans="1:32" ht="24.6" customHeight="1" thickTop="1" thickBot="1" x14ac:dyDescent="0.25">
      <c r="A29" s="39"/>
      <c r="B29" s="38" t="s">
        <v>29</v>
      </c>
      <c r="C29" s="31">
        <v>13</v>
      </c>
      <c r="D29" s="33"/>
      <c r="E29" s="33"/>
      <c r="F29" s="32">
        <f t="shared" si="0"/>
        <v>0</v>
      </c>
      <c r="G29" s="33"/>
      <c r="H29" s="33"/>
      <c r="I29" s="33"/>
      <c r="J29" s="37"/>
      <c r="K29" s="36">
        <f t="shared" si="1"/>
        <v>0</v>
      </c>
      <c r="L29" s="35"/>
      <c r="M29" s="34"/>
      <c r="N29" s="34"/>
      <c r="O29" s="34"/>
      <c r="P29" s="34"/>
      <c r="Q29" s="33"/>
      <c r="R29" s="34"/>
      <c r="S29" s="33"/>
      <c r="T29" s="32">
        <f>S29*1</f>
        <v>0</v>
      </c>
      <c r="U29" s="32">
        <f t="shared" si="7"/>
        <v>0</v>
      </c>
      <c r="V29" s="31">
        <v>13</v>
      </c>
      <c r="W29" s="23"/>
      <c r="X29" s="2" t="str">
        <f t="shared" si="2"/>
        <v>OK</v>
      </c>
      <c r="Y29" s="2" t="str">
        <f t="shared" si="3"/>
        <v>OK</v>
      </c>
      <c r="Z29" s="2" t="str">
        <f t="shared" si="4"/>
        <v>OK</v>
      </c>
      <c r="AA29" s="9"/>
      <c r="AB29" s="9"/>
      <c r="AC29" s="2" t="str">
        <f t="shared" si="5"/>
        <v>OK</v>
      </c>
      <c r="AD29" s="9"/>
      <c r="AE29" s="2" t="str">
        <f t="shared" si="6"/>
        <v>OK</v>
      </c>
    </row>
    <row r="30" spans="1:32" ht="24.6" customHeight="1" thickTop="1" thickBot="1" x14ac:dyDescent="0.25">
      <c r="A30" s="39"/>
      <c r="B30" s="40" t="s">
        <v>28</v>
      </c>
      <c r="C30" s="31">
        <v>14</v>
      </c>
      <c r="D30" s="33"/>
      <c r="E30" s="33"/>
      <c r="F30" s="32">
        <f t="shared" si="0"/>
        <v>0</v>
      </c>
      <c r="G30" s="33"/>
      <c r="H30" s="33"/>
      <c r="I30" s="33"/>
      <c r="J30" s="37"/>
      <c r="K30" s="36">
        <f t="shared" si="1"/>
        <v>0</v>
      </c>
      <c r="L30" s="35"/>
      <c r="M30" s="34"/>
      <c r="N30" s="34"/>
      <c r="O30" s="34"/>
      <c r="P30" s="34"/>
      <c r="Q30" s="33"/>
      <c r="R30" s="34"/>
      <c r="S30" s="33"/>
      <c r="T30" s="32">
        <f>S30*1</f>
        <v>0</v>
      </c>
      <c r="U30" s="32">
        <f t="shared" si="7"/>
        <v>0</v>
      </c>
      <c r="V30" s="31">
        <v>14</v>
      </c>
      <c r="W30" s="23"/>
      <c r="X30" s="2" t="str">
        <f t="shared" si="2"/>
        <v>OK</v>
      </c>
      <c r="Y30" s="2" t="str">
        <f t="shared" si="3"/>
        <v>OK</v>
      </c>
      <c r="Z30" s="2" t="str">
        <f t="shared" si="4"/>
        <v>OK</v>
      </c>
      <c r="AA30" s="9"/>
      <c r="AB30" s="9"/>
      <c r="AC30" s="2" t="str">
        <f t="shared" si="5"/>
        <v>OK</v>
      </c>
      <c r="AD30" s="9"/>
      <c r="AE30" s="2" t="str">
        <f t="shared" si="6"/>
        <v>OK</v>
      </c>
    </row>
    <row r="31" spans="1:32" ht="24.6" customHeight="1" thickTop="1" thickBot="1" x14ac:dyDescent="0.25">
      <c r="A31" s="39"/>
      <c r="B31" s="38" t="s">
        <v>26</v>
      </c>
      <c r="C31" s="31">
        <v>15</v>
      </c>
      <c r="D31" s="33"/>
      <c r="E31" s="33"/>
      <c r="F31" s="32">
        <f t="shared" si="0"/>
        <v>0</v>
      </c>
      <c r="G31" s="33"/>
      <c r="H31" s="33"/>
      <c r="I31" s="33"/>
      <c r="J31" s="37"/>
      <c r="K31" s="36">
        <f t="shared" si="1"/>
        <v>0</v>
      </c>
      <c r="L31" s="35"/>
      <c r="M31" s="34"/>
      <c r="N31" s="34"/>
      <c r="O31" s="34"/>
      <c r="P31" s="34"/>
      <c r="Q31" s="33"/>
      <c r="R31" s="34"/>
      <c r="S31" s="33"/>
      <c r="T31" s="32">
        <f>S31*1</f>
        <v>0</v>
      </c>
      <c r="U31" s="32">
        <f t="shared" si="7"/>
        <v>0</v>
      </c>
      <c r="V31" s="31">
        <v>15</v>
      </c>
      <c r="W31" s="23"/>
      <c r="X31" s="2" t="str">
        <f t="shared" si="2"/>
        <v>OK</v>
      </c>
      <c r="Y31" s="2" t="str">
        <f t="shared" si="3"/>
        <v>OK</v>
      </c>
      <c r="Z31" s="2" t="str">
        <f t="shared" si="4"/>
        <v>OK</v>
      </c>
      <c r="AA31" s="9"/>
      <c r="AB31" s="9"/>
      <c r="AC31" s="2" t="str">
        <f t="shared" si="5"/>
        <v>OK</v>
      </c>
      <c r="AD31" s="9"/>
      <c r="AE31" s="2" t="str">
        <f t="shared" si="6"/>
        <v>OK</v>
      </c>
    </row>
    <row r="32" spans="1:32" ht="24.6" customHeight="1" thickTop="1" thickBot="1" x14ac:dyDescent="0.25">
      <c r="A32" s="39"/>
      <c r="B32" s="38" t="s">
        <v>27</v>
      </c>
      <c r="C32" s="31">
        <v>16</v>
      </c>
      <c r="D32" s="33"/>
      <c r="E32" s="33"/>
      <c r="F32" s="32">
        <f t="shared" si="0"/>
        <v>0</v>
      </c>
      <c r="G32" s="33"/>
      <c r="H32" s="33"/>
      <c r="I32" s="33"/>
      <c r="J32" s="37"/>
      <c r="K32" s="36">
        <f t="shared" si="1"/>
        <v>0</v>
      </c>
      <c r="L32" s="35"/>
      <c r="M32" s="34"/>
      <c r="N32" s="34"/>
      <c r="O32" s="34"/>
      <c r="P32" s="34"/>
      <c r="Q32" s="33"/>
      <c r="R32" s="34"/>
      <c r="S32" s="33"/>
      <c r="T32" s="32">
        <f>S32*1.5</f>
        <v>0</v>
      </c>
      <c r="U32" s="32">
        <f t="shared" si="7"/>
        <v>0</v>
      </c>
      <c r="V32" s="31">
        <v>16</v>
      </c>
      <c r="W32" s="23"/>
      <c r="X32" s="2" t="str">
        <f t="shared" si="2"/>
        <v>OK</v>
      </c>
      <c r="Y32" s="2" t="str">
        <f t="shared" si="3"/>
        <v>OK</v>
      </c>
      <c r="Z32" s="2" t="str">
        <f t="shared" si="4"/>
        <v>OK</v>
      </c>
      <c r="AA32" s="9"/>
      <c r="AB32" s="9"/>
      <c r="AC32" s="2" t="str">
        <f t="shared" si="5"/>
        <v>OK</v>
      </c>
      <c r="AD32" s="9"/>
      <c r="AE32" s="2" t="str">
        <f t="shared" si="6"/>
        <v>OK</v>
      </c>
    </row>
    <row r="33" spans="1:32" ht="24.6" customHeight="1" thickTop="1" thickBot="1" x14ac:dyDescent="0.25">
      <c r="A33" s="39"/>
      <c r="B33" s="38" t="s">
        <v>26</v>
      </c>
      <c r="C33" s="31">
        <v>17</v>
      </c>
      <c r="D33" s="33"/>
      <c r="E33" s="33"/>
      <c r="F33" s="32">
        <f t="shared" si="0"/>
        <v>0</v>
      </c>
      <c r="G33" s="33"/>
      <c r="H33" s="33"/>
      <c r="I33" s="33"/>
      <c r="J33" s="37"/>
      <c r="K33" s="36">
        <f t="shared" si="1"/>
        <v>0</v>
      </c>
      <c r="L33" s="35"/>
      <c r="M33" s="34"/>
      <c r="N33" s="34"/>
      <c r="O33" s="34"/>
      <c r="P33" s="34"/>
      <c r="Q33" s="33"/>
      <c r="R33" s="34"/>
      <c r="S33" s="33"/>
      <c r="T33" s="32">
        <f>S33*1.5</f>
        <v>0</v>
      </c>
      <c r="U33" s="32">
        <f t="shared" si="7"/>
        <v>0</v>
      </c>
      <c r="V33" s="31">
        <v>17</v>
      </c>
      <c r="W33" s="23"/>
      <c r="X33" s="2" t="str">
        <f t="shared" si="2"/>
        <v>OK</v>
      </c>
      <c r="Y33" s="2" t="str">
        <f t="shared" si="3"/>
        <v>OK</v>
      </c>
      <c r="Z33" s="2" t="str">
        <f t="shared" si="4"/>
        <v>OK</v>
      </c>
      <c r="AA33" s="9"/>
      <c r="AB33" s="9"/>
      <c r="AC33" s="2" t="str">
        <f t="shared" si="5"/>
        <v>OK</v>
      </c>
      <c r="AD33" s="9"/>
      <c r="AE33" s="2" t="str">
        <f t="shared" si="6"/>
        <v>OK</v>
      </c>
    </row>
    <row r="34" spans="1:32" ht="25.35" customHeight="1" thickTop="1" thickBot="1" x14ac:dyDescent="0.25">
      <c r="A34" s="39"/>
      <c r="B34" s="38">
        <v>3.5</v>
      </c>
      <c r="C34" s="31">
        <v>18</v>
      </c>
      <c r="D34" s="33"/>
      <c r="E34" s="33"/>
      <c r="F34" s="32">
        <f t="shared" si="0"/>
        <v>0</v>
      </c>
      <c r="G34" s="33"/>
      <c r="H34" s="33"/>
      <c r="I34" s="33"/>
      <c r="J34" s="37"/>
      <c r="K34" s="36">
        <f t="shared" si="1"/>
        <v>0</v>
      </c>
      <c r="L34" s="35"/>
      <c r="M34" s="34"/>
      <c r="N34" s="34"/>
      <c r="O34" s="34"/>
      <c r="P34" s="34"/>
      <c r="Q34" s="33"/>
      <c r="R34" s="34"/>
      <c r="S34" s="33"/>
      <c r="T34" s="32">
        <f>S34*3.5</f>
        <v>0</v>
      </c>
      <c r="U34" s="32">
        <f t="shared" si="7"/>
        <v>0</v>
      </c>
      <c r="V34" s="31">
        <v>18</v>
      </c>
      <c r="W34" s="23"/>
      <c r="X34" s="2" t="str">
        <f t="shared" si="2"/>
        <v>OK</v>
      </c>
      <c r="Y34" s="2" t="str">
        <f t="shared" si="3"/>
        <v>OK</v>
      </c>
      <c r="Z34" s="2" t="str">
        <f t="shared" si="4"/>
        <v>OK</v>
      </c>
      <c r="AA34" s="9"/>
      <c r="AB34" s="9"/>
      <c r="AC34" s="2" t="str">
        <f t="shared" si="5"/>
        <v>OK</v>
      </c>
      <c r="AD34" s="9"/>
      <c r="AE34" s="2" t="str">
        <f t="shared" si="6"/>
        <v>OK</v>
      </c>
    </row>
    <row r="35" spans="1:32" ht="7.5" customHeight="1" thickTop="1" x14ac:dyDescent="0.2">
      <c r="A35" s="30"/>
      <c r="B35" s="29"/>
      <c r="C35" s="12"/>
      <c r="D35" s="28"/>
      <c r="E35" s="28"/>
      <c r="F35" s="28"/>
      <c r="G35" s="28"/>
      <c r="H35" s="28"/>
      <c r="I35" s="28"/>
      <c r="J35" s="28"/>
      <c r="K35" s="28"/>
      <c r="L35" s="28"/>
      <c r="M35" s="28"/>
      <c r="N35" s="28"/>
      <c r="O35" s="28"/>
      <c r="P35" s="28"/>
      <c r="Q35" s="28"/>
      <c r="R35" s="28"/>
      <c r="S35" s="28"/>
      <c r="T35" s="28"/>
      <c r="U35" s="28"/>
      <c r="V35" s="12"/>
      <c r="W35" s="24"/>
      <c r="X35" s="24"/>
      <c r="Y35" s="27"/>
      <c r="Z35" s="27"/>
      <c r="AA35" s="9"/>
      <c r="AB35" s="9"/>
      <c r="AC35" s="9"/>
      <c r="AD35" s="9"/>
      <c r="AE35" s="9"/>
      <c r="AF35" s="9"/>
    </row>
    <row r="36" spans="1:32" ht="18.75" customHeight="1" x14ac:dyDescent="0.2">
      <c r="A36"/>
      <c r="B36" s="26" t="str">
        <f>"Version: "&amp;D43</f>
        <v>Version: 2.01.E0</v>
      </c>
      <c r="C36"/>
      <c r="D36"/>
      <c r="E36"/>
      <c r="F36"/>
      <c r="G36"/>
      <c r="H36"/>
      <c r="I36"/>
      <c r="J36"/>
      <c r="K36"/>
      <c r="L36"/>
      <c r="M36"/>
      <c r="N36"/>
      <c r="O36"/>
      <c r="P36"/>
      <c r="Q36"/>
      <c r="R36"/>
      <c r="S36"/>
      <c r="T36"/>
      <c r="U36"/>
      <c r="V36" s="25" t="s">
        <v>25</v>
      </c>
      <c r="W36" s="23"/>
      <c r="X36" s="23"/>
      <c r="Y36" s="24"/>
      <c r="Z36" s="24"/>
      <c r="AA36" s="9"/>
      <c r="AB36" s="9"/>
      <c r="AC36" s="9"/>
      <c r="AD36" s="9"/>
      <c r="AE36" s="9"/>
      <c r="AF36" s="9"/>
    </row>
    <row r="37" spans="1:32" ht="18.75" customHeight="1" x14ac:dyDescent="0.2">
      <c r="A37"/>
      <c r="B37"/>
      <c r="C37"/>
      <c r="D37"/>
      <c r="E37"/>
      <c r="F37"/>
      <c r="G37"/>
      <c r="H37"/>
      <c r="I37"/>
      <c r="J37"/>
      <c r="K37"/>
      <c r="L37"/>
      <c r="M37"/>
      <c r="N37"/>
      <c r="O37"/>
      <c r="P37"/>
      <c r="Q37"/>
      <c r="R37"/>
      <c r="S37"/>
      <c r="T37"/>
      <c r="U37"/>
      <c r="V37" s="9"/>
      <c r="W37" s="23"/>
      <c r="X37" s="23"/>
      <c r="Y37" s="23"/>
      <c r="Z37" s="23"/>
    </row>
    <row r="38" spans="1:32" ht="18.75" customHeight="1" x14ac:dyDescent="0.2">
      <c r="Q38" s="22"/>
      <c r="S38" s="22"/>
      <c r="V38" s="9"/>
    </row>
    <row r="39" spans="1:32" ht="18.75" customHeight="1" x14ac:dyDescent="0.2">
      <c r="Q39" s="22"/>
      <c r="S39" s="22"/>
    </row>
    <row r="40" spans="1:32" ht="18.75" customHeight="1" x14ac:dyDescent="0.2">
      <c r="B40" s="21"/>
      <c r="C40" s="20" t="s">
        <v>24</v>
      </c>
      <c r="D40" s="19" t="str">
        <f>U2</f>
        <v>XXXXXX</v>
      </c>
    </row>
    <row r="41" spans="1:32" ht="18.75" customHeight="1" x14ac:dyDescent="0.2">
      <c r="B41" s="15"/>
      <c r="D41" s="14" t="str">
        <f>U1</f>
        <v>P_CRSABIS_07</v>
      </c>
    </row>
    <row r="42" spans="1:32" ht="18.75" customHeight="1" x14ac:dyDescent="0.2">
      <c r="B42" s="15"/>
      <c r="D42" s="18" t="str">
        <f>U3</f>
        <v>DD.MM.YYYY</v>
      </c>
    </row>
    <row r="43" spans="1:32" ht="18.75" customHeight="1" x14ac:dyDescent="0.2">
      <c r="B43" s="17"/>
      <c r="D43" s="16" t="s">
        <v>23</v>
      </c>
    </row>
    <row r="44" spans="1:32" ht="18.75" customHeight="1" x14ac:dyDescent="0.2">
      <c r="B44" s="15"/>
      <c r="D44" s="14" t="str">
        <f>D13</f>
        <v>col. 01</v>
      </c>
    </row>
    <row r="45" spans="1:32" ht="18.75" customHeight="1" x14ac:dyDescent="0.2">
      <c r="B45" s="13"/>
      <c r="C45" s="12"/>
      <c r="D45" s="11">
        <f>COUNTIF(D49:U54,"ERROR")+COUNTIF(X14:AE35,"ERROR")</f>
        <v>0</v>
      </c>
    </row>
    <row r="46" spans="1:32" ht="20.85" customHeight="1" x14ac:dyDescent="0.2">
      <c r="B46" s="9"/>
      <c r="C46" s="8"/>
      <c r="D46" s="10"/>
    </row>
    <row r="47" spans="1:32" x14ac:dyDescent="0.2">
      <c r="B47" s="9"/>
      <c r="C47" s="8"/>
      <c r="D47" s="7"/>
    </row>
    <row r="48" spans="1:32" x14ac:dyDescent="0.2">
      <c r="D48" s="6" t="s">
        <v>22</v>
      </c>
      <c r="E48" s="6" t="s">
        <v>21</v>
      </c>
      <c r="F48" s="6" t="s">
        <v>20</v>
      </c>
      <c r="G48" s="6" t="s">
        <v>19</v>
      </c>
      <c r="H48" s="6" t="s">
        <v>18</v>
      </c>
      <c r="I48" s="6" t="s">
        <v>17</v>
      </c>
      <c r="J48" s="6" t="s">
        <v>16</v>
      </c>
      <c r="K48" s="6" t="s">
        <v>15</v>
      </c>
      <c r="L48" s="6" t="s">
        <v>14</v>
      </c>
      <c r="M48" s="6" t="s">
        <v>13</v>
      </c>
      <c r="N48" s="6" t="s">
        <v>12</v>
      </c>
      <c r="O48" s="6" t="s">
        <v>11</v>
      </c>
      <c r="P48" s="6" t="s">
        <v>10</v>
      </c>
      <c r="Q48" s="6" t="s">
        <v>9</v>
      </c>
      <c r="R48" s="6" t="s">
        <v>8</v>
      </c>
      <c r="S48" s="6" t="s">
        <v>7</v>
      </c>
      <c r="T48" s="6" t="s">
        <v>6</v>
      </c>
      <c r="U48" s="6" t="s">
        <v>5</v>
      </c>
      <c r="V48"/>
      <c r="W48"/>
    </row>
    <row r="49" spans="2:23" x14ac:dyDescent="0.2">
      <c r="B49" s="4" t="s">
        <v>4</v>
      </c>
      <c r="C49" s="5"/>
      <c r="D49" s="2" t="str">
        <f>IF(ROUND(D17+D16,0)=ROUND(D14,0),"OK","ERROR")</f>
        <v>OK</v>
      </c>
      <c r="E49" s="2" t="str">
        <f>IF(ROUND(E17+E16,0)=ROUND(E14,0),"OK","ERROR")</f>
        <v>OK</v>
      </c>
      <c r="F49" s="2" t="str">
        <f>IF(ROUND(F17+F16,0)=ROUND(F14,0),"OK","ERROR")</f>
        <v>OK</v>
      </c>
      <c r="G49" s="2" t="str">
        <f>IF(ROUND(G17,0)=ROUND(G14,0),"OK","ERROR")</f>
        <v>OK</v>
      </c>
      <c r="H49" s="2" t="str">
        <f>IF(ROUND(H17,0)=ROUND(H14,0),"OK","ERROR")</f>
        <v>OK</v>
      </c>
      <c r="I49" s="2" t="str">
        <f>IF(ROUND(I17,0)=ROUND(I14,0),"OK","ERROR")</f>
        <v>OK</v>
      </c>
      <c r="J49" s="2" t="str">
        <f>IF(ROUND(J17,0)=ROUND(J14,0),"OK","ERROR")</f>
        <v>OK</v>
      </c>
      <c r="K49" s="2" t="str">
        <f>IF(AND(ROUND(K16+K17,0)=ROUND(K14,0),ROUND(K14,0)=ROUND(K19+K20+K21+K23+K24+K26+K28+K32+K34,0)),"OK","ERROR")</f>
        <v>OK</v>
      </c>
      <c r="L49"/>
      <c r="M49"/>
      <c r="N49"/>
      <c r="O49"/>
      <c r="P49"/>
      <c r="Q49" s="2" t="str">
        <f>IF(AND(ROUND(Q17+Q16,0)=ROUND(Q14,0),ROUND(K14+O14+P14,0)=ROUND(Q14,0)),"OK","ERROR")</f>
        <v>OK</v>
      </c>
      <c r="R49"/>
      <c r="S49" s="2" t="str">
        <f>IF(AND(ROUND(S17+S16,0)=ROUND(S14,0),ROUND(Q14+R14,0)=ROUND(S14,0)),"OK","ERROR")</f>
        <v>OK</v>
      </c>
      <c r="T49" s="2" t="str">
        <f>IF(ROUND(T17+T16,0)=ROUND(T14,0),"OK","ERROR")</f>
        <v>OK</v>
      </c>
      <c r="U49" s="2" t="str">
        <f>IF(ROUND(U17+U16,0)=ROUND(U14,0),"OK","ERROR")</f>
        <v>OK</v>
      </c>
      <c r="V49"/>
      <c r="W49"/>
    </row>
    <row r="50" spans="2:23" x14ac:dyDescent="0.2">
      <c r="B50" s="4" t="s">
        <v>3</v>
      </c>
      <c r="C50" s="3"/>
      <c r="D50" s="2" t="str">
        <f>IF(ROUND(D22,0)&lt;=ROUND(D21,0),"OK","ERROR")</f>
        <v>OK</v>
      </c>
      <c r="E50" s="2" t="str">
        <f>IF(ROUND(E22,0)&gt;=ROUND(E21,0),"OK","ERROR")</f>
        <v>OK</v>
      </c>
      <c r="F50" s="2" t="str">
        <f t="shared" ref="F50:K50" si="8">IF(ROUND(F22,0)&lt;=ROUND(F21,0),"OK","ERROR")</f>
        <v>OK</v>
      </c>
      <c r="G50" s="2" t="str">
        <f t="shared" si="8"/>
        <v>OK</v>
      </c>
      <c r="H50" s="2" t="str">
        <f t="shared" si="8"/>
        <v>OK</v>
      </c>
      <c r="I50" s="2" t="str">
        <f t="shared" si="8"/>
        <v>OK</v>
      </c>
      <c r="J50" s="2" t="str">
        <f t="shared" si="8"/>
        <v>OK</v>
      </c>
      <c r="K50" s="2" t="str">
        <f t="shared" si="8"/>
        <v>OK</v>
      </c>
      <c r="L50"/>
      <c r="M50"/>
      <c r="N50"/>
      <c r="O50"/>
      <c r="P50"/>
      <c r="Q50" s="2" t="str">
        <f>IF(ROUND(Q22,0)&lt;=ROUND(Q21,0),"OK","ERROR")</f>
        <v>OK</v>
      </c>
      <c r="R50"/>
      <c r="S50" s="2" t="str">
        <f>IF(ROUND(S22,0)&lt;=ROUND(S21,0),"OK","ERROR")</f>
        <v>OK</v>
      </c>
      <c r="T50" s="2" t="str">
        <f>IF(ROUND(T22,0)&lt;=ROUND(T21,0),"OK","ERROR")</f>
        <v>OK</v>
      </c>
      <c r="U50" s="2" t="str">
        <f>IF(ROUND(U22,0)&lt;=ROUND(U21,0),"OK","ERROR")</f>
        <v>OK</v>
      </c>
      <c r="V50"/>
      <c r="W50"/>
    </row>
    <row r="51" spans="2:23" x14ac:dyDescent="0.2">
      <c r="B51" s="4" t="s">
        <v>2</v>
      </c>
      <c r="C51" s="3"/>
      <c r="D51" s="2" t="str">
        <f>IF(ROUND(D25,0)&lt;=ROUND(D24,0),"OK","ERROR")</f>
        <v>OK</v>
      </c>
      <c r="E51" s="2" t="str">
        <f>IF(ROUND(E25,0)&gt;=ROUND(E24,0),"OK","ERROR")</f>
        <v>OK</v>
      </c>
      <c r="F51" s="2" t="str">
        <f t="shared" ref="F51:K51" si="9">IF(ROUND(F25,0)&lt;=ROUND(F24,0),"OK","ERROR")</f>
        <v>OK</v>
      </c>
      <c r="G51" s="2" t="str">
        <f t="shared" si="9"/>
        <v>OK</v>
      </c>
      <c r="H51" s="2" t="str">
        <f t="shared" si="9"/>
        <v>OK</v>
      </c>
      <c r="I51" s="2" t="str">
        <f t="shared" si="9"/>
        <v>OK</v>
      </c>
      <c r="J51" s="2" t="str">
        <f t="shared" si="9"/>
        <v>OK</v>
      </c>
      <c r="K51" s="2" t="str">
        <f t="shared" si="9"/>
        <v>OK</v>
      </c>
      <c r="L51"/>
      <c r="M51"/>
      <c r="N51"/>
      <c r="O51"/>
      <c r="P51"/>
      <c r="Q51" s="2" t="str">
        <f>IF(ROUND(Q25,0)&lt;=ROUND(Q24,0),"OK","ERROR")</f>
        <v>OK</v>
      </c>
      <c r="R51"/>
      <c r="S51" s="2" t="str">
        <f>IF(ROUND(S25,0)&lt;=ROUND(S24,0),"OK","ERROR")</f>
        <v>OK</v>
      </c>
      <c r="T51" s="2" t="str">
        <f>IF(ROUND(T25,0)&lt;=ROUND(T24,0),"OK","ERROR")</f>
        <v>OK</v>
      </c>
      <c r="U51" s="2" t="str">
        <f>IF(ROUND(U25,0)&lt;=ROUND(U24,0),"OK","ERROR")</f>
        <v>OK</v>
      </c>
      <c r="V51"/>
      <c r="W51"/>
    </row>
    <row r="52" spans="2:23" x14ac:dyDescent="0.2">
      <c r="B52" s="4" t="s">
        <v>1</v>
      </c>
      <c r="C52" s="3"/>
      <c r="D52" s="2" t="str">
        <f>IF(ROUND(D27,0)&lt;=ROUND(D26,0),"OK","ERROR")</f>
        <v>OK</v>
      </c>
      <c r="E52" s="2" t="str">
        <f>IF(ROUND(E27,0)&gt;=ROUND(E26,0),"OK","ERROR")</f>
        <v>OK</v>
      </c>
      <c r="F52" s="2" t="str">
        <f t="shared" ref="F52:K52" si="10">IF(ROUND(F27,0)&lt;=ROUND(F26,0),"OK","ERROR")</f>
        <v>OK</v>
      </c>
      <c r="G52" s="2" t="str">
        <f t="shared" si="10"/>
        <v>OK</v>
      </c>
      <c r="H52" s="2" t="str">
        <f t="shared" si="10"/>
        <v>OK</v>
      </c>
      <c r="I52" s="2" t="str">
        <f t="shared" si="10"/>
        <v>OK</v>
      </c>
      <c r="J52" s="2" t="str">
        <f t="shared" si="10"/>
        <v>OK</v>
      </c>
      <c r="K52" s="2" t="str">
        <f t="shared" si="10"/>
        <v>OK</v>
      </c>
      <c r="L52"/>
      <c r="M52"/>
      <c r="N52"/>
      <c r="O52"/>
      <c r="P52"/>
      <c r="Q52" s="2" t="str">
        <f>IF(ROUND(Q27,0)&lt;=ROUND(Q26,0),"OK","ERROR")</f>
        <v>OK</v>
      </c>
      <c r="R52"/>
      <c r="S52" s="2" t="str">
        <f>IF(ROUND(S27,0)&lt;=ROUND(S26,0),"OK","ERROR")</f>
        <v>OK</v>
      </c>
      <c r="T52" s="2" t="str">
        <f>IF(ROUND(T27,0)&lt;=ROUND(T26,0),"OK","ERROR")</f>
        <v>OK</v>
      </c>
      <c r="U52" s="2" t="str">
        <f>IF(ROUND(U27,0)&lt;=ROUND(U26,0),"OK","ERROR")</f>
        <v>OK</v>
      </c>
      <c r="V52"/>
      <c r="W52"/>
    </row>
    <row r="53" spans="2:23" x14ac:dyDescent="0.2">
      <c r="B53"/>
      <c r="C53"/>
      <c r="D53"/>
      <c r="E53"/>
      <c r="F53"/>
      <c r="G53"/>
      <c r="H53"/>
      <c r="I53"/>
      <c r="J53"/>
      <c r="K53"/>
      <c r="L53"/>
      <c r="M53"/>
      <c r="N53"/>
      <c r="O53"/>
      <c r="P53"/>
      <c r="Q53"/>
      <c r="R53"/>
      <c r="S53"/>
      <c r="T53"/>
      <c r="U53"/>
      <c r="V53"/>
      <c r="W53"/>
    </row>
    <row r="54" spans="2:23" x14ac:dyDescent="0.2">
      <c r="B54" s="4" t="s">
        <v>0</v>
      </c>
      <c r="C54" s="3"/>
      <c r="D54" s="2" t="str">
        <f>IF(ROUND(D33,0)&lt;=ROUND(D32,0),"OK","ERROR")</f>
        <v>OK</v>
      </c>
      <c r="E54" s="2" t="str">
        <f>IF(ROUND(E33,0)&gt;=ROUND(E32,0),"OK","ERROR")</f>
        <v>OK</v>
      </c>
      <c r="F54" s="2" t="str">
        <f t="shared" ref="F54:K54" si="11">IF(ROUND(F33,0)&lt;=ROUND(F32,0),"OK","ERROR")</f>
        <v>OK</v>
      </c>
      <c r="G54" s="2" t="str">
        <f t="shared" si="11"/>
        <v>OK</v>
      </c>
      <c r="H54" s="2" t="str">
        <f t="shared" si="11"/>
        <v>OK</v>
      </c>
      <c r="I54" s="2" t="str">
        <f t="shared" si="11"/>
        <v>OK</v>
      </c>
      <c r="J54" s="2" t="str">
        <f t="shared" si="11"/>
        <v>OK</v>
      </c>
      <c r="K54" s="2" t="str">
        <f t="shared" si="11"/>
        <v>OK</v>
      </c>
      <c r="L54"/>
      <c r="M54"/>
      <c r="N54"/>
      <c r="O54"/>
      <c r="P54"/>
      <c r="Q54" s="2" t="str">
        <f>IF(ROUND(Q33,0)&lt;=ROUND(Q32,0),"OK","ERROR")</f>
        <v>OK</v>
      </c>
      <c r="R54"/>
      <c r="S54" s="2" t="str">
        <f>IF(ROUND(S33,0)&lt;=ROUND(S32,0),"OK","ERROR")</f>
        <v>OK</v>
      </c>
      <c r="T54" s="2" t="str">
        <f>IF(ROUND(T33,0)&lt;=ROUND(T32,0),"OK","ERROR")</f>
        <v>OK</v>
      </c>
      <c r="U54" s="2" t="str">
        <f>IF(ROUND(U33,0)&lt;=ROUND(U32,0),"OK","ERROR")</f>
        <v>OK</v>
      </c>
      <c r="V54"/>
      <c r="W54"/>
    </row>
    <row r="55" spans="2:23" x14ac:dyDescent="0.2">
      <c r="V55"/>
      <c r="W55"/>
    </row>
  </sheetData>
  <mergeCells count="1">
    <mergeCell ref="U8:U12"/>
  </mergeCells>
  <conditionalFormatting sqref="D25">
    <cfRule type="cellIs" dxfId="5" priority="1" stopIfTrue="1" operator="equal">
      <formula>$D$49="ERROR"</formula>
    </cfRule>
  </conditionalFormatting>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colBreaks count="1" manualBreakCount="1">
    <brk id="11" max="34"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0">
    <tabColor rgb="FF92D050"/>
  </sheetPr>
  <dimension ref="A1:AN105"/>
  <sheetViews>
    <sheetView zoomScale="70" zoomScaleNormal="70" workbookViewId="0">
      <selection activeCell="AI8" sqref="AI8"/>
    </sheetView>
  </sheetViews>
  <sheetFormatPr defaultColWidth="11.42578125" defaultRowHeight="12.75" x14ac:dyDescent="0.2"/>
  <cols>
    <col min="1" max="1" width="8.42578125" style="616" customWidth="1"/>
    <col min="2" max="2" width="59.5703125" style="616" bestFit="1" customWidth="1"/>
    <col min="3" max="3" width="4.5703125" style="616" customWidth="1"/>
    <col min="4" max="7" width="20.42578125" style="616" customWidth="1"/>
    <col min="8" max="9" width="15.5703125" style="616" customWidth="1"/>
    <col min="10" max="10" width="16.42578125" style="616" customWidth="1"/>
    <col min="11" max="12" width="15.5703125" style="616" customWidth="1"/>
    <col min="13" max="13" width="17.5703125" style="616" customWidth="1"/>
    <col min="14" max="14" width="20.42578125" style="616" customWidth="1"/>
    <col min="15" max="15" width="24.5703125" style="616" customWidth="1"/>
    <col min="16" max="20" width="17.5703125" style="616" customWidth="1"/>
    <col min="21" max="27" width="20.42578125" style="616" customWidth="1"/>
    <col min="28" max="28" width="4.5703125" style="616" customWidth="1"/>
    <col min="29" max="29" width="11.42578125" style="616" customWidth="1"/>
    <col min="30" max="30" width="11.42578125" style="616"/>
    <col min="31" max="32" width="11.42578125" style="332" customWidth="1"/>
    <col min="33" max="33" width="15.42578125" style="332" bestFit="1" customWidth="1"/>
    <col min="34" max="35" width="14.5703125" style="332" bestFit="1" customWidth="1"/>
    <col min="36" max="36" width="10.5703125" style="332" bestFit="1" customWidth="1"/>
    <col min="37" max="37" width="15.42578125" style="332" bestFit="1" customWidth="1"/>
    <col min="38" max="40" width="33.5703125" style="332" customWidth="1"/>
    <col min="41" max="16384" width="11.42578125" style="616"/>
  </cols>
  <sheetData>
    <row r="1" spans="1:40" ht="25.35" customHeight="1" x14ac:dyDescent="0.25">
      <c r="A1" s="441"/>
      <c r="B1" s="441"/>
      <c r="C1" s="441"/>
      <c r="E1" s="639" t="s">
        <v>1953</v>
      </c>
      <c r="H1" s="618"/>
      <c r="I1" s="618"/>
      <c r="J1" s="618"/>
      <c r="K1" s="618"/>
      <c r="L1" s="618"/>
      <c r="M1" s="640" t="s">
        <v>100</v>
      </c>
      <c r="O1" s="641" t="s">
        <v>2245</v>
      </c>
      <c r="P1" s="618"/>
      <c r="Q1" s="639" t="s">
        <v>1953</v>
      </c>
      <c r="R1" s="618"/>
      <c r="S1" s="618"/>
      <c r="T1" s="618"/>
      <c r="U1" s="618"/>
      <c r="V1" s="618"/>
      <c r="W1" s="618"/>
      <c r="X1" s="618"/>
      <c r="Y1" s="618"/>
      <c r="Z1" s="640" t="s">
        <v>100</v>
      </c>
      <c r="AA1" s="641" t="str">
        <f>O1</f>
        <v>P_CRSABIS_10</v>
      </c>
      <c r="AB1" s="441"/>
    </row>
    <row r="2" spans="1:40" ht="25.35" customHeight="1" x14ac:dyDescent="0.25">
      <c r="A2" s="441"/>
      <c r="B2" s="618"/>
      <c r="C2" s="441"/>
      <c r="E2" s="642" t="s">
        <v>99</v>
      </c>
      <c r="H2" s="618"/>
      <c r="I2" s="618"/>
      <c r="J2" s="618"/>
      <c r="K2" s="618"/>
      <c r="L2" s="442"/>
      <c r="M2" s="640" t="s">
        <v>98</v>
      </c>
      <c r="O2" s="643" t="s">
        <v>119</v>
      </c>
      <c r="P2" s="618"/>
      <c r="Q2" s="642" t="s">
        <v>99</v>
      </c>
      <c r="R2" s="441"/>
      <c r="S2" s="618"/>
      <c r="T2" s="618"/>
      <c r="U2" s="618"/>
      <c r="V2" s="618"/>
      <c r="W2" s="618"/>
      <c r="X2" s="618"/>
      <c r="Y2" s="618"/>
      <c r="Z2" s="640" t="s">
        <v>98</v>
      </c>
      <c r="AA2" s="643" t="str">
        <f>O2</f>
        <v>XXXXXX</v>
      </c>
      <c r="AB2" s="441"/>
    </row>
    <row r="3" spans="1:40" ht="25.35" customHeight="1" x14ac:dyDescent="0.25">
      <c r="A3" s="441"/>
      <c r="B3" s="618"/>
      <c r="C3" s="441"/>
      <c r="E3" s="644" t="s">
        <v>97</v>
      </c>
      <c r="H3" s="618"/>
      <c r="I3" s="618"/>
      <c r="K3" s="618"/>
      <c r="L3" s="442"/>
      <c r="M3" s="640" t="s">
        <v>96</v>
      </c>
      <c r="O3" s="645" t="s">
        <v>121</v>
      </c>
      <c r="P3" s="618"/>
      <c r="Q3" s="644" t="s">
        <v>97</v>
      </c>
      <c r="R3" s="441"/>
      <c r="S3" s="618"/>
      <c r="T3" s="618"/>
      <c r="U3" s="618"/>
      <c r="V3" s="618"/>
      <c r="W3" s="618"/>
      <c r="X3" s="618"/>
      <c r="Y3" s="618"/>
      <c r="Z3" s="640" t="s">
        <v>96</v>
      </c>
      <c r="AA3" s="645" t="str">
        <f>O3</f>
        <v>DD.MM.YYYY</v>
      </c>
      <c r="AB3" s="441"/>
    </row>
    <row r="4" spans="1:40" ht="25.35" customHeight="1" x14ac:dyDescent="0.25">
      <c r="A4" s="441"/>
      <c r="B4" s="618"/>
      <c r="C4" s="441"/>
      <c r="E4" s="620" t="s">
        <v>1467</v>
      </c>
      <c r="J4" s="618"/>
      <c r="L4" s="442"/>
      <c r="M4" s="646"/>
      <c r="O4" s="647"/>
      <c r="P4" s="618"/>
      <c r="Q4" s="620" t="s">
        <v>1467</v>
      </c>
      <c r="R4" s="618"/>
      <c r="S4" s="618"/>
      <c r="T4" s="618"/>
      <c r="U4" s="618"/>
      <c r="V4" s="618"/>
      <c r="W4" s="618"/>
      <c r="X4" s="618"/>
      <c r="Y4" s="618"/>
      <c r="Z4" s="618"/>
      <c r="AA4" s="618"/>
      <c r="AB4" s="441"/>
    </row>
    <row r="5" spans="1:40" ht="25.35" customHeight="1" x14ac:dyDescent="0.2">
      <c r="A5" s="441"/>
      <c r="B5" s="106" t="s">
        <v>2250</v>
      </c>
      <c r="C5" s="441"/>
      <c r="E5" s="616" t="s">
        <v>94</v>
      </c>
      <c r="F5" s="618"/>
      <c r="G5" s="618"/>
      <c r="H5" s="618"/>
      <c r="I5" s="618"/>
      <c r="J5" s="618"/>
      <c r="K5" s="618"/>
      <c r="L5" s="618"/>
      <c r="M5" s="618"/>
      <c r="N5" s="618"/>
      <c r="O5" s="618"/>
      <c r="P5" s="618"/>
      <c r="Q5" s="616" t="s">
        <v>94</v>
      </c>
      <c r="R5" s="618"/>
      <c r="S5" s="618"/>
      <c r="T5" s="618"/>
      <c r="U5" s="618"/>
      <c r="V5" s="618"/>
      <c r="W5" s="618"/>
      <c r="X5" s="618"/>
      <c r="Y5" s="618"/>
      <c r="Z5" s="618"/>
      <c r="AA5" s="618"/>
      <c r="AB5" s="441"/>
    </row>
    <row r="6" spans="1:40" ht="25.35" customHeight="1" x14ac:dyDescent="0.2">
      <c r="A6" s="441"/>
      <c r="B6" s="618"/>
      <c r="C6" s="441"/>
      <c r="D6" s="441"/>
      <c r="AB6" s="441"/>
    </row>
    <row r="7" spans="1:40" ht="25.35" customHeight="1" x14ac:dyDescent="0.2">
      <c r="A7" s="648"/>
      <c r="B7" s="618"/>
      <c r="C7" s="648"/>
      <c r="D7" s="648"/>
      <c r="F7" s="618"/>
      <c r="G7" s="618"/>
      <c r="H7" s="618"/>
      <c r="I7" s="618"/>
      <c r="J7" s="618"/>
      <c r="K7" s="618"/>
      <c r="L7" s="618"/>
      <c r="M7" s="649"/>
      <c r="N7" s="618"/>
      <c r="O7" s="649"/>
      <c r="P7" s="618"/>
      <c r="R7" s="649"/>
      <c r="S7" s="618"/>
      <c r="T7" s="618"/>
      <c r="U7" s="618"/>
      <c r="V7" s="618"/>
      <c r="W7" s="618"/>
      <c r="X7" s="618"/>
      <c r="Y7" s="618"/>
      <c r="Z7" s="618"/>
      <c r="AA7" s="618"/>
      <c r="AB7" s="648"/>
    </row>
    <row r="8" spans="1:40" ht="17.850000000000001" customHeight="1" x14ac:dyDescent="0.25">
      <c r="A8" s="650"/>
      <c r="B8" s="651"/>
      <c r="C8" s="652"/>
      <c r="D8" s="653" t="s">
        <v>93</v>
      </c>
      <c r="E8" s="653" t="s">
        <v>92</v>
      </c>
      <c r="F8" s="654" t="s">
        <v>90</v>
      </c>
      <c r="G8" s="621"/>
      <c r="H8" s="608"/>
      <c r="I8" s="609"/>
      <c r="J8" s="609"/>
      <c r="K8" s="609"/>
      <c r="L8" s="609"/>
      <c r="M8" s="610"/>
      <c r="N8" s="977"/>
      <c r="O8" s="655" t="s">
        <v>90</v>
      </c>
      <c r="P8" s="1678" t="s">
        <v>89</v>
      </c>
      <c r="Q8" s="1679"/>
      <c r="R8" s="1679"/>
      <c r="S8" s="1679"/>
      <c r="T8" s="1680"/>
      <c r="U8" s="1465" t="s">
        <v>88</v>
      </c>
      <c r="V8" s="1465" t="s">
        <v>87</v>
      </c>
      <c r="W8" s="656" t="s">
        <v>86</v>
      </c>
      <c r="X8" s="621"/>
      <c r="Y8" s="621"/>
      <c r="Z8" s="621"/>
      <c r="AA8" s="657" t="s">
        <v>85</v>
      </c>
      <c r="AB8" s="652"/>
      <c r="AC8" s="658"/>
      <c r="AE8" s="1002"/>
      <c r="AF8" s="260"/>
      <c r="AG8" s="260"/>
      <c r="AH8" s="260"/>
      <c r="AI8" s="260"/>
      <c r="AJ8" s="260"/>
      <c r="AK8" s="260"/>
    </row>
    <row r="9" spans="1:40" ht="59.1" customHeight="1" x14ac:dyDescent="0.25">
      <c r="A9" s="659"/>
      <c r="B9" s="639"/>
      <c r="C9" s="660"/>
      <c r="D9" s="661" t="s">
        <v>83</v>
      </c>
      <c r="E9" s="661" t="s">
        <v>82</v>
      </c>
      <c r="F9" s="662" t="s">
        <v>80</v>
      </c>
      <c r="G9" s="622" t="s">
        <v>1950</v>
      </c>
      <c r="H9" s="629" t="s">
        <v>1951</v>
      </c>
      <c r="I9" s="626"/>
      <c r="J9" s="630"/>
      <c r="K9" s="626"/>
      <c r="L9" s="630"/>
      <c r="M9" s="631"/>
      <c r="N9" s="978" t="s">
        <v>1356</v>
      </c>
      <c r="O9" s="631" t="s">
        <v>80</v>
      </c>
      <c r="P9" s="1681" t="s">
        <v>1402</v>
      </c>
      <c r="Q9" s="1682"/>
      <c r="R9" s="1682"/>
      <c r="S9" s="1683"/>
      <c r="T9" s="663" t="s">
        <v>1764</v>
      </c>
      <c r="U9" s="1466" t="s">
        <v>79</v>
      </c>
      <c r="V9" s="1466" t="s">
        <v>78</v>
      </c>
      <c r="W9" s="664" t="s">
        <v>77</v>
      </c>
      <c r="X9" s="622"/>
      <c r="Y9" s="622"/>
      <c r="Z9" s="622"/>
      <c r="AA9" s="661" t="s">
        <v>76</v>
      </c>
      <c r="AB9" s="660"/>
      <c r="AC9" s="658"/>
      <c r="AE9" s="1002"/>
      <c r="AF9" s="260"/>
      <c r="AG9" s="260"/>
      <c r="AH9" s="260"/>
      <c r="AI9" s="260"/>
      <c r="AJ9" s="260"/>
      <c r="AK9" s="260"/>
    </row>
    <row r="10" spans="1:40" ht="17.850000000000001" customHeight="1" x14ac:dyDescent="0.25">
      <c r="A10" s="659"/>
      <c r="B10" s="639"/>
      <c r="C10" s="660"/>
      <c r="D10" s="661" t="s">
        <v>75</v>
      </c>
      <c r="E10" s="661" t="s">
        <v>74</v>
      </c>
      <c r="F10" s="662" t="s">
        <v>73</v>
      </c>
      <c r="G10" s="622"/>
      <c r="H10" s="632" t="s">
        <v>1437</v>
      </c>
      <c r="I10" s="626"/>
      <c r="J10" s="626"/>
      <c r="K10" s="626"/>
      <c r="L10" s="626"/>
      <c r="M10" s="633"/>
      <c r="N10" s="978"/>
      <c r="O10" s="631" t="s">
        <v>72</v>
      </c>
      <c r="P10" s="1464" t="s">
        <v>71</v>
      </c>
      <c r="Q10" s="665"/>
      <c r="R10" s="666" t="s">
        <v>70</v>
      </c>
      <c r="S10" s="1684" t="s">
        <v>1465</v>
      </c>
      <c r="T10" s="1684" t="s">
        <v>1439</v>
      </c>
      <c r="U10" s="1466" t="s">
        <v>68</v>
      </c>
      <c r="V10" s="1466" t="s">
        <v>1458</v>
      </c>
      <c r="W10" s="664" t="s">
        <v>1464</v>
      </c>
      <c r="X10" s="622"/>
      <c r="Y10" s="622"/>
      <c r="Z10" s="622"/>
      <c r="AA10" s="664"/>
      <c r="AB10" s="660"/>
      <c r="AC10" s="658"/>
      <c r="AE10" s="1002"/>
      <c r="AF10" s="260"/>
      <c r="AG10" s="260"/>
      <c r="AH10" s="260"/>
      <c r="AI10" s="260"/>
      <c r="AJ10" s="260"/>
      <c r="AK10" s="260"/>
    </row>
    <row r="11" spans="1:40" ht="17.850000000000001" customHeight="1" x14ac:dyDescent="0.25">
      <c r="A11" s="659"/>
      <c r="B11" s="639"/>
      <c r="C11" s="660"/>
      <c r="D11" s="661"/>
      <c r="E11" s="661" t="s">
        <v>65</v>
      </c>
      <c r="F11" s="662" t="s">
        <v>64</v>
      </c>
      <c r="G11" s="622"/>
      <c r="H11" s="634" t="s">
        <v>1438</v>
      </c>
      <c r="I11" s="627"/>
      <c r="J11" s="635"/>
      <c r="K11" s="627"/>
      <c r="L11" s="627"/>
      <c r="M11" s="636"/>
      <c r="N11" s="978"/>
      <c r="O11" s="631" t="s">
        <v>63</v>
      </c>
      <c r="P11" s="667" t="s">
        <v>62</v>
      </c>
      <c r="Q11" s="663"/>
      <c r="R11" s="663" t="s">
        <v>61</v>
      </c>
      <c r="S11" s="1685"/>
      <c r="T11" s="1685"/>
      <c r="U11" s="1466" t="s">
        <v>59</v>
      </c>
      <c r="V11" s="1466" t="s">
        <v>58</v>
      </c>
      <c r="X11" s="622"/>
      <c r="Y11" s="622"/>
      <c r="Z11" s="622"/>
      <c r="AA11" s="664"/>
      <c r="AB11" s="660"/>
      <c r="AC11" s="658"/>
      <c r="AE11" s="1002"/>
      <c r="AF11" s="260"/>
      <c r="AG11" s="260"/>
      <c r="AH11" s="260"/>
      <c r="AI11" s="260"/>
      <c r="AJ11" s="260"/>
      <c r="AK11" s="260"/>
    </row>
    <row r="12" spans="1:40" ht="85.35" customHeight="1" x14ac:dyDescent="0.2">
      <c r="A12" s="441"/>
      <c r="B12" s="441"/>
      <c r="C12" s="660"/>
      <c r="D12" s="664"/>
      <c r="E12" s="664" t="s">
        <v>57</v>
      </c>
      <c r="F12" s="662" t="s">
        <v>56</v>
      </c>
      <c r="G12" s="623"/>
      <c r="H12" s="628" t="s">
        <v>34</v>
      </c>
      <c r="I12" s="628">
        <v>0.1</v>
      </c>
      <c r="J12" s="637">
        <v>0.2</v>
      </c>
      <c r="K12" s="628">
        <v>0.4</v>
      </c>
      <c r="L12" s="638">
        <v>0.5</v>
      </c>
      <c r="M12" s="637">
        <v>1</v>
      </c>
      <c r="N12" s="979"/>
      <c r="O12" s="631" t="s">
        <v>55</v>
      </c>
      <c r="P12" s="668" t="s">
        <v>54</v>
      </c>
      <c r="Q12" s="668" t="s">
        <v>53</v>
      </c>
      <c r="R12" s="668" t="s">
        <v>52</v>
      </c>
      <c r="S12" s="1685"/>
      <c r="T12" s="1685"/>
      <c r="U12" s="1466" t="s">
        <v>1466</v>
      </c>
      <c r="V12" s="1466" t="s">
        <v>1459</v>
      </c>
      <c r="W12" s="664"/>
      <c r="X12" s="622" t="s">
        <v>1950</v>
      </c>
      <c r="Y12" s="622" t="s">
        <v>1952</v>
      </c>
      <c r="Z12" s="622" t="s">
        <v>1356</v>
      </c>
      <c r="AA12" s="664"/>
      <c r="AB12" s="660"/>
      <c r="AC12" s="669"/>
      <c r="AE12" s="875"/>
      <c r="AF12" s="875"/>
      <c r="AG12" s="875"/>
      <c r="AH12" s="875"/>
      <c r="AI12" s="875"/>
      <c r="AJ12" s="875"/>
      <c r="AK12" s="875"/>
    </row>
    <row r="13" spans="1:40" ht="95.25" customHeight="1" x14ac:dyDescent="0.2">
      <c r="A13" s="618"/>
      <c r="B13" s="649"/>
      <c r="C13" s="670"/>
      <c r="D13" s="624" t="s">
        <v>22</v>
      </c>
      <c r="E13" s="624" t="s">
        <v>21</v>
      </c>
      <c r="F13" s="624" t="s">
        <v>20</v>
      </c>
      <c r="G13" s="624" t="s">
        <v>19</v>
      </c>
      <c r="H13" s="624" t="s">
        <v>18</v>
      </c>
      <c r="I13" s="624" t="s">
        <v>17</v>
      </c>
      <c r="J13" s="624" t="s">
        <v>16</v>
      </c>
      <c r="K13" s="624" t="s">
        <v>15</v>
      </c>
      <c r="L13" s="624" t="s">
        <v>14</v>
      </c>
      <c r="M13" s="624" t="s">
        <v>13</v>
      </c>
      <c r="N13" s="624" t="s">
        <v>12</v>
      </c>
      <c r="O13" s="976" t="s">
        <v>11</v>
      </c>
      <c r="P13" s="624" t="s">
        <v>10</v>
      </c>
      <c r="Q13" s="624" t="s">
        <v>9</v>
      </c>
      <c r="R13" s="624" t="s">
        <v>8</v>
      </c>
      <c r="S13" s="624" t="s">
        <v>7</v>
      </c>
      <c r="T13" s="624" t="s">
        <v>6</v>
      </c>
      <c r="U13" s="624" t="s">
        <v>5</v>
      </c>
      <c r="V13" s="624" t="s">
        <v>1420</v>
      </c>
      <c r="W13" s="624" t="s">
        <v>1421</v>
      </c>
      <c r="X13" s="624" t="s">
        <v>1422</v>
      </c>
      <c r="Y13" s="624" t="s">
        <v>1423</v>
      </c>
      <c r="Z13" s="624" t="s">
        <v>1424</v>
      </c>
      <c r="AA13" s="624" t="s">
        <v>1425</v>
      </c>
      <c r="AB13" s="670"/>
      <c r="AE13" s="260" t="s">
        <v>47</v>
      </c>
      <c r="AF13" s="260" t="s">
        <v>46</v>
      </c>
      <c r="AG13" s="1463" t="s">
        <v>1749</v>
      </c>
      <c r="AH13" s="1463" t="s">
        <v>1750</v>
      </c>
      <c r="AI13" s="1463" t="s">
        <v>1751</v>
      </c>
      <c r="AJ13" s="260" t="s">
        <v>1752</v>
      </c>
      <c r="AK13" s="1463" t="s">
        <v>1753</v>
      </c>
      <c r="AL13" s="1463" t="s">
        <v>1792</v>
      </c>
      <c r="AM13" s="1463" t="s">
        <v>1765</v>
      </c>
      <c r="AN13" s="1463" t="s">
        <v>1766</v>
      </c>
    </row>
    <row r="14" spans="1:40" ht="25.35" customHeight="1" thickBot="1" x14ac:dyDescent="0.25">
      <c r="A14" s="1010">
        <v>1</v>
      </c>
      <c r="B14" s="698" t="s">
        <v>39</v>
      </c>
      <c r="C14" s="1467" t="s">
        <v>241</v>
      </c>
      <c r="D14" s="292">
        <f>SUM(D24+D52+D63)</f>
        <v>95100000</v>
      </c>
      <c r="E14" s="292">
        <f t="shared" ref="E14:AA14" si="0">SUM(E24+E52+E63)</f>
        <v>0</v>
      </c>
      <c r="F14" s="292">
        <f t="shared" ref="F14" si="1">SUM(F24+F52+F63)</f>
        <v>95100000</v>
      </c>
      <c r="G14" s="292">
        <f t="shared" si="0"/>
        <v>0</v>
      </c>
      <c r="H14" s="292">
        <f t="shared" si="0"/>
        <v>40000</v>
      </c>
      <c r="I14" s="292">
        <f t="shared" si="0"/>
        <v>0</v>
      </c>
      <c r="J14" s="292">
        <f t="shared" si="0"/>
        <v>0</v>
      </c>
      <c r="K14" s="292">
        <f t="shared" si="0"/>
        <v>0</v>
      </c>
      <c r="L14" s="292">
        <f t="shared" si="0"/>
        <v>0</v>
      </c>
      <c r="M14" s="292">
        <f t="shared" si="0"/>
        <v>0</v>
      </c>
      <c r="N14" s="292">
        <f t="shared" si="0"/>
        <v>0</v>
      </c>
      <c r="O14" s="292">
        <f t="shared" si="0"/>
        <v>95060000</v>
      </c>
      <c r="P14" s="292">
        <f t="shared" si="0"/>
        <v>0</v>
      </c>
      <c r="Q14" s="292">
        <f t="shared" si="0"/>
        <v>0</v>
      </c>
      <c r="R14" s="292">
        <f t="shared" si="0"/>
        <v>0</v>
      </c>
      <c r="S14" s="292">
        <f t="shared" si="0"/>
        <v>0</v>
      </c>
      <c r="T14" s="292">
        <f t="shared" si="0"/>
        <v>0</v>
      </c>
      <c r="U14" s="292">
        <f t="shared" si="0"/>
        <v>95060000</v>
      </c>
      <c r="V14" s="292">
        <f t="shared" si="0"/>
        <v>0</v>
      </c>
      <c r="W14" s="292">
        <f t="shared" si="0"/>
        <v>95060000</v>
      </c>
      <c r="X14" s="292">
        <f t="shared" si="0"/>
        <v>0</v>
      </c>
      <c r="Y14" s="292">
        <f t="shared" si="0"/>
        <v>0</v>
      </c>
      <c r="Z14" s="292">
        <f t="shared" si="0"/>
        <v>0</v>
      </c>
      <c r="AA14" s="292">
        <f t="shared" si="0"/>
        <v>0</v>
      </c>
      <c r="AB14" s="1467" t="s">
        <v>241</v>
      </c>
      <c r="AC14" s="615"/>
      <c r="AE14" s="672" t="str">
        <f>IF(D14&gt;=0,"OK","ERROR")</f>
        <v>OK</v>
      </c>
      <c r="AF14" s="672" t="str">
        <f>IF(E14&lt;=0,"OK","ERROR")</f>
        <v>OK</v>
      </c>
      <c r="AG14" s="672" t="str">
        <f>IF(MIN(F14:O14)&gt;=0,"OK","ERROR")</f>
        <v>OK</v>
      </c>
      <c r="AH14" s="672" t="str">
        <f>IF(MAX(P14:S14)&lt;=0,"OK","ERROR")</f>
        <v>OK</v>
      </c>
      <c r="AI14" s="672" t="str">
        <f>IF(MIN(T14:U14)&gt;=0,"OK","ERROR")</f>
        <v>OK</v>
      </c>
      <c r="AJ14" s="672" t="str">
        <f>IF(V14&lt;=0,"OK","ERROR")</f>
        <v>OK</v>
      </c>
      <c r="AK14" s="672" t="str">
        <f>IF(MIN(W14:AA14)&gt;=0,"OK","ERROR")</f>
        <v>OK</v>
      </c>
      <c r="AM14" s="672" t="str">
        <f>IF(F14=SUM(G14:N14),"OK","ERROR")</f>
        <v>ERROR</v>
      </c>
      <c r="AN14" s="672" t="str">
        <f>IF(W14=SUM(X14:Z14),"OK","ERROR")</f>
        <v>ERROR</v>
      </c>
    </row>
    <row r="15" spans="1:40" ht="25.35" customHeight="1" thickTop="1" thickBot="1" x14ac:dyDescent="0.25">
      <c r="A15" s="1010">
        <v>2</v>
      </c>
      <c r="B15" s="1468" t="s">
        <v>1496</v>
      </c>
      <c r="C15" s="1422" t="s">
        <v>241</v>
      </c>
      <c r="D15" s="1193"/>
      <c r="E15" s="1193"/>
      <c r="F15" s="1193">
        <f>D15+E15</f>
        <v>0</v>
      </c>
      <c r="G15" s="1469"/>
      <c r="H15" s="1469"/>
      <c r="I15" s="1469"/>
      <c r="J15" s="1469"/>
      <c r="K15" s="1469"/>
      <c r="L15" s="1469"/>
      <c r="M15" s="1469"/>
      <c r="N15" s="1469"/>
      <c r="O15" s="1193"/>
      <c r="P15" s="1469"/>
      <c r="Q15" s="1469"/>
      <c r="R15" s="1469"/>
      <c r="S15" s="1469">
        <f>P15+Q15+R15</f>
        <v>0</v>
      </c>
      <c r="T15" s="1469"/>
      <c r="U15" s="1469">
        <f>O15+S15+T15</f>
        <v>0</v>
      </c>
      <c r="V15" s="1469"/>
      <c r="W15" s="1193">
        <f>U15+V15</f>
        <v>0</v>
      </c>
      <c r="X15" s="1469"/>
      <c r="Y15" s="1469"/>
      <c r="Z15" s="1469"/>
      <c r="AA15" s="1193"/>
      <c r="AB15" s="1422" t="s">
        <v>241</v>
      </c>
      <c r="AC15" s="615"/>
      <c r="AE15" s="1470"/>
      <c r="AF15" s="1470"/>
      <c r="AG15" s="1470"/>
      <c r="AH15" s="1470"/>
      <c r="AI15" s="1470"/>
      <c r="AJ15" s="1470"/>
      <c r="AK15" s="1470"/>
      <c r="AM15" s="672" t="str">
        <f t="shared" ref="AM15:AM67" si="2">IF(F15=SUM(G15:N15),"OK","ERROR")</f>
        <v>OK</v>
      </c>
      <c r="AN15" s="672" t="str">
        <f t="shared" ref="AN15:AN67" si="3">IF(W15=SUM(X15:Z15),"OK","ERROR")</f>
        <v>OK</v>
      </c>
    </row>
    <row r="16" spans="1:40" ht="25.35" customHeight="1" thickTop="1" thickBot="1" x14ac:dyDescent="0.25">
      <c r="A16" s="1010">
        <v>3</v>
      </c>
      <c r="B16" s="1471" t="s">
        <v>1730</v>
      </c>
      <c r="C16" s="1422" t="s">
        <v>241</v>
      </c>
      <c r="D16" s="914"/>
      <c r="E16" s="914"/>
      <c r="F16" s="1193">
        <f t="shared" ref="F16:F66" si="4">D16+E16</f>
        <v>0</v>
      </c>
      <c r="G16" s="1469"/>
      <c r="H16" s="1469"/>
      <c r="I16" s="1469"/>
      <c r="J16" s="1469"/>
      <c r="K16" s="1469"/>
      <c r="L16" s="1469"/>
      <c r="M16" s="1469"/>
      <c r="N16" s="1469"/>
      <c r="O16" s="914"/>
      <c r="P16" s="1469"/>
      <c r="Q16" s="1469"/>
      <c r="R16" s="1469"/>
      <c r="S16" s="1469"/>
      <c r="T16" s="1469"/>
      <c r="U16" s="1469"/>
      <c r="V16" s="1469"/>
      <c r="W16" s="1193">
        <f t="shared" ref="W16:W66" si="5">U16+V16</f>
        <v>0</v>
      </c>
      <c r="X16" s="1469"/>
      <c r="Y16" s="1469"/>
      <c r="Z16" s="1469"/>
      <c r="AA16" s="914"/>
      <c r="AB16" s="1422" t="s">
        <v>241</v>
      </c>
      <c r="AC16" s="615"/>
      <c r="AE16" s="577" t="str">
        <f>IF(D16&gt;=0,"OK","ERROR")</f>
        <v>OK</v>
      </c>
      <c r="AF16" s="577" t="str">
        <f>IF(E16&lt;=0,"OK","ERROR")</f>
        <v>OK</v>
      </c>
      <c r="AG16" s="672" t="str">
        <f>IF(MIN(F16:O16)&gt;=0,"OK","ERROR")</f>
        <v>OK</v>
      </c>
      <c r="AH16" s="672" t="str">
        <f>IF(MAX(P16:S16)&lt;=0,"OK","ERROR")</f>
        <v>OK</v>
      </c>
      <c r="AI16" s="672" t="str">
        <f>IF(MIN(T16:U16)&gt;=0,"OK","ERROR")</f>
        <v>OK</v>
      </c>
      <c r="AJ16" s="672" t="str">
        <f>IF(V16&lt;=0,"OK","ERROR")</f>
        <v>OK</v>
      </c>
      <c r="AK16" s="672" t="str">
        <f>IF(MIN(W16:AA16)&gt;=0,"OK","ERROR")</f>
        <v>OK</v>
      </c>
      <c r="AM16" s="672" t="str">
        <f t="shared" si="2"/>
        <v>OK</v>
      </c>
      <c r="AN16" s="672" t="str">
        <f t="shared" si="3"/>
        <v>OK</v>
      </c>
    </row>
    <row r="17" spans="1:40" ht="25.35" customHeight="1" thickTop="1" thickBot="1" x14ac:dyDescent="0.25">
      <c r="A17" s="1010">
        <v>4</v>
      </c>
      <c r="B17" s="1471" t="s">
        <v>1731</v>
      </c>
      <c r="C17" s="1422" t="s">
        <v>241</v>
      </c>
      <c r="D17" s="915"/>
      <c r="E17" s="915"/>
      <c r="F17" s="923">
        <f t="shared" si="4"/>
        <v>0</v>
      </c>
      <c r="G17" s="1469"/>
      <c r="H17" s="1469"/>
      <c r="I17" s="1469"/>
      <c r="J17" s="1469"/>
      <c r="K17" s="1469"/>
      <c r="L17" s="1469"/>
      <c r="M17" s="1469"/>
      <c r="N17" s="1469"/>
      <c r="O17" s="915"/>
      <c r="P17" s="1469"/>
      <c r="Q17" s="1469"/>
      <c r="R17" s="1469"/>
      <c r="S17" s="1469"/>
      <c r="T17" s="1469"/>
      <c r="U17" s="1469"/>
      <c r="V17" s="1469"/>
      <c r="W17" s="1193">
        <f t="shared" si="5"/>
        <v>0</v>
      </c>
      <c r="X17" s="1469"/>
      <c r="Y17" s="1469"/>
      <c r="Z17" s="1469"/>
      <c r="AA17" s="915"/>
      <c r="AB17" s="1422" t="s">
        <v>241</v>
      </c>
      <c r="AC17" s="615"/>
      <c r="AE17" s="577" t="str">
        <f>IF(D17&gt;=0,"OK","ERROR")</f>
        <v>OK</v>
      </c>
      <c r="AF17" s="577" t="str">
        <f>IF(E17&lt;=0,"OK","ERROR")</f>
        <v>OK</v>
      </c>
      <c r="AG17" s="672" t="str">
        <f>IF(MIN(F17:O17)&gt;=0,"OK","ERROR")</f>
        <v>OK</v>
      </c>
      <c r="AH17" s="672" t="str">
        <f>IF(MAX(P17:S17)&lt;=0,"OK","ERROR")</f>
        <v>OK</v>
      </c>
      <c r="AI17" s="672" t="str">
        <f>IF(MIN(T17:U17)&gt;=0,"OK","ERROR")</f>
        <v>OK</v>
      </c>
      <c r="AJ17" s="672" t="str">
        <f>IF(V17&lt;=0,"OK","ERROR")</f>
        <v>OK</v>
      </c>
      <c r="AK17" s="672" t="str">
        <f>IF(MIN(W17:AA17)&gt;=0,"OK","ERROR")</f>
        <v>OK</v>
      </c>
      <c r="AM17" s="672" t="str">
        <f t="shared" si="2"/>
        <v>OK</v>
      </c>
      <c r="AN17" s="672" t="str">
        <f t="shared" si="3"/>
        <v>OK</v>
      </c>
    </row>
    <row r="18" spans="1:40" ht="37.5" customHeight="1" thickTop="1" thickBot="1" x14ac:dyDescent="0.25">
      <c r="A18" s="1010">
        <v>5</v>
      </c>
      <c r="B18" s="699" t="s">
        <v>38</v>
      </c>
      <c r="C18" s="293"/>
      <c r="D18" s="292">
        <f t="shared" ref="D18:N18" si="6">D19+D20+D21+D22+D23</f>
        <v>95470000</v>
      </c>
      <c r="E18" s="292">
        <f t="shared" si="6"/>
        <v>0</v>
      </c>
      <c r="F18" s="292">
        <f t="shared" si="6"/>
        <v>95470000</v>
      </c>
      <c r="G18" s="292">
        <f t="shared" si="6"/>
        <v>0</v>
      </c>
      <c r="H18" s="292">
        <f t="shared" si="6"/>
        <v>40000</v>
      </c>
      <c r="I18" s="292">
        <f t="shared" si="6"/>
        <v>0</v>
      </c>
      <c r="J18" s="292">
        <f t="shared" si="6"/>
        <v>0</v>
      </c>
      <c r="K18" s="292">
        <f t="shared" si="6"/>
        <v>0</v>
      </c>
      <c r="L18" s="292">
        <f t="shared" si="6"/>
        <v>0</v>
      </c>
      <c r="M18" s="292">
        <f t="shared" si="6"/>
        <v>0</v>
      </c>
      <c r="N18" s="292">
        <f t="shared" si="6"/>
        <v>0</v>
      </c>
      <c r="O18" s="292">
        <f>O19+O20+O21+O22+O23</f>
        <v>95430000</v>
      </c>
      <c r="P18" s="1469"/>
      <c r="Q18" s="1469"/>
      <c r="R18" s="1469"/>
      <c r="S18" s="1469"/>
      <c r="T18" s="1469"/>
      <c r="U18" s="1469"/>
      <c r="V18" s="1469"/>
      <c r="W18" s="614">
        <f t="shared" ref="W18" si="7">W19+W20+W21+W22+W23</f>
        <v>0</v>
      </c>
      <c r="X18" s="292">
        <f t="shared" ref="X18" si="8">X19+X20+X21+X22+X23</f>
        <v>0</v>
      </c>
      <c r="Y18" s="292">
        <f t="shared" ref="Y18" si="9">Y19+Y20+Y21+Y22+Y23</f>
        <v>0</v>
      </c>
      <c r="Z18" s="292">
        <f t="shared" ref="Z18" si="10">Z19+Z20+Z21+Z22+Z23</f>
        <v>0</v>
      </c>
      <c r="AA18" s="292">
        <f>AA19+AA20+AA21+AA22+AA23</f>
        <v>240000</v>
      </c>
      <c r="AB18" s="293"/>
      <c r="AC18" s="674"/>
      <c r="AE18" s="577" t="str">
        <f>IF(D18&gt;=0,"OK","ERROR")</f>
        <v>OK</v>
      </c>
      <c r="AF18" s="577" t="str">
        <f>IF(E18&lt;=0,"OK","ERROR")</f>
        <v>OK</v>
      </c>
      <c r="AG18" s="672" t="str">
        <f>IF(MIN(F18:O18)&gt;=0,"OK","ERROR")</f>
        <v>OK</v>
      </c>
      <c r="AH18" s="672" t="str">
        <f>IF(MAX(P18:S18)&lt;=0,"OK","ERROR")</f>
        <v>OK</v>
      </c>
      <c r="AI18" s="672" t="str">
        <f>IF(MIN(T18:U18)&gt;=0,"OK","ERROR")</f>
        <v>OK</v>
      </c>
      <c r="AJ18" s="672" t="str">
        <f>IF(V18&lt;=0,"OK","ERROR")</f>
        <v>OK</v>
      </c>
      <c r="AK18" s="672" t="str">
        <f>IF(MIN(W18:AA18)&gt;=0,"OK","ERROR")</f>
        <v>OK</v>
      </c>
      <c r="AM18" s="672" t="str">
        <f t="shared" si="2"/>
        <v>ERROR</v>
      </c>
      <c r="AN18" s="672" t="str">
        <f t="shared" si="3"/>
        <v>OK</v>
      </c>
    </row>
    <row r="19" spans="1:40" ht="25.35" customHeight="1" thickTop="1" thickBot="1" x14ac:dyDescent="0.25">
      <c r="A19" s="1010">
        <v>6</v>
      </c>
      <c r="B19" s="676" t="s">
        <v>37</v>
      </c>
      <c r="C19" s="293" t="s">
        <v>241</v>
      </c>
      <c r="D19" s="245">
        <v>95420000</v>
      </c>
      <c r="E19" s="245"/>
      <c r="F19" s="1193">
        <f t="shared" si="4"/>
        <v>95420000</v>
      </c>
      <c r="G19" s="923">
        <f>G24+G52+G63</f>
        <v>0</v>
      </c>
      <c r="H19" s="1469"/>
      <c r="I19" s="1469"/>
      <c r="J19" s="1469"/>
      <c r="K19" s="1469"/>
      <c r="L19" s="1469"/>
      <c r="M19" s="1469"/>
      <c r="N19" s="1469"/>
      <c r="O19" s="292">
        <f>F19</f>
        <v>95420000</v>
      </c>
      <c r="P19" s="1469"/>
      <c r="Q19" s="1469"/>
      <c r="R19" s="1469"/>
      <c r="S19" s="1469"/>
      <c r="T19" s="1469"/>
      <c r="U19" s="1469"/>
      <c r="V19" s="1469"/>
      <c r="W19" s="1193">
        <f t="shared" si="5"/>
        <v>0</v>
      </c>
      <c r="X19" s="1204">
        <f>X24+X52+X63</f>
        <v>0</v>
      </c>
      <c r="Y19" s="1469"/>
      <c r="Z19" s="1469"/>
      <c r="AA19" s="245">
        <v>240000</v>
      </c>
      <c r="AB19" s="293" t="s">
        <v>241</v>
      </c>
      <c r="AC19" s="615"/>
      <c r="AE19" s="577" t="str">
        <f>IF(D19&gt;=0,"OK","ERROR")</f>
        <v>OK</v>
      </c>
      <c r="AF19" s="577" t="str">
        <f>IF(E19&lt;=0,"OK","ERROR")</f>
        <v>OK</v>
      </c>
      <c r="AG19" s="672" t="str">
        <f>IF(MIN(F19:O19)&gt;=0,"OK","ERROR")</f>
        <v>OK</v>
      </c>
      <c r="AH19" s="672" t="str">
        <f>IF(MAX(P19:S19)&lt;=0,"OK","ERROR")</f>
        <v>OK</v>
      </c>
      <c r="AI19" s="672" t="str">
        <f>IF(MIN(T19:U19)&gt;=0,"OK","ERROR")</f>
        <v>OK</v>
      </c>
      <c r="AJ19" s="672" t="str">
        <f>IF(V19&lt;=0,"OK","ERROR")</f>
        <v>OK</v>
      </c>
      <c r="AK19" s="672" t="str">
        <f>IF(MIN(W19:AA19)&gt;=0,"OK","ERROR")</f>
        <v>OK</v>
      </c>
      <c r="AM19" s="672" t="str">
        <f t="shared" si="2"/>
        <v>ERROR</v>
      </c>
      <c r="AN19" s="672" t="str">
        <f t="shared" si="3"/>
        <v>OK</v>
      </c>
    </row>
    <row r="20" spans="1:40" ht="25.35" customHeight="1" thickTop="1" thickBot="1" x14ac:dyDescent="0.25">
      <c r="A20" s="1010">
        <v>7</v>
      </c>
      <c r="B20" s="676" t="s">
        <v>36</v>
      </c>
      <c r="C20" s="293" t="s">
        <v>241</v>
      </c>
      <c r="D20" s="245">
        <v>50000</v>
      </c>
      <c r="E20" s="245"/>
      <c r="F20" s="1193">
        <f t="shared" si="4"/>
        <v>50000</v>
      </c>
      <c r="G20" s="1469"/>
      <c r="H20" s="614">
        <f>H24+H52+H63</f>
        <v>40000</v>
      </c>
      <c r="I20" s="614">
        <f t="shared" ref="I20:M20" si="11">I24+I52+I63</f>
        <v>0</v>
      </c>
      <c r="J20" s="614">
        <f t="shared" si="11"/>
        <v>0</v>
      </c>
      <c r="K20" s="614">
        <f t="shared" si="11"/>
        <v>0</v>
      </c>
      <c r="L20" s="614">
        <f t="shared" si="11"/>
        <v>0</v>
      </c>
      <c r="M20" s="614">
        <f t="shared" si="11"/>
        <v>0</v>
      </c>
      <c r="N20" s="1469"/>
      <c r="O20" s="292">
        <f>F20-H20-0.9*I20-0.8*J20-0.6*K20-0.5*L20</f>
        <v>10000</v>
      </c>
      <c r="P20" s="1469"/>
      <c r="Q20" s="1469"/>
      <c r="R20" s="1469"/>
      <c r="S20" s="1469"/>
      <c r="T20" s="1469"/>
      <c r="U20" s="1469"/>
      <c r="V20" s="1469"/>
      <c r="W20" s="1193">
        <f t="shared" si="5"/>
        <v>0</v>
      </c>
      <c r="X20" s="1469"/>
      <c r="Y20" s="1204">
        <f>Y24+Y52+Y63</f>
        <v>0</v>
      </c>
      <c r="Z20" s="1469"/>
      <c r="AA20" s="916">
        <v>0</v>
      </c>
      <c r="AB20" s="293" t="s">
        <v>241</v>
      </c>
      <c r="AC20" s="615"/>
      <c r="AE20" s="577" t="str">
        <f>IF(D20&gt;=0,"OK","ERROR")</f>
        <v>OK</v>
      </c>
      <c r="AF20" s="577" t="str">
        <f>IF(E20&lt;=0,"OK","ERROR")</f>
        <v>OK</v>
      </c>
      <c r="AG20" s="672" t="str">
        <f>IF(MIN(F20:O20)&gt;=0,"OK","ERROR")</f>
        <v>OK</v>
      </c>
      <c r="AH20" s="672" t="str">
        <f>IF(MAX(P20:S20)&lt;=0,"OK","ERROR")</f>
        <v>OK</v>
      </c>
      <c r="AI20" s="672" t="str">
        <f>IF(MIN(T20:U20)&gt;=0,"OK","ERROR")</f>
        <v>OK</v>
      </c>
      <c r="AJ20" s="672" t="str">
        <f>IF(V20&lt;=0,"OK","ERROR")</f>
        <v>OK</v>
      </c>
      <c r="AK20" s="672" t="str">
        <f>IF(MIN(W20:AA20)&gt;=0,"OK","ERROR")</f>
        <v>OK</v>
      </c>
      <c r="AM20" s="672" t="str">
        <f t="shared" si="2"/>
        <v>ERROR</v>
      </c>
      <c r="AN20" s="672" t="str">
        <f t="shared" si="3"/>
        <v>OK</v>
      </c>
    </row>
    <row r="21" spans="1:40" s="678" customFormat="1" ht="25.35" customHeight="1" thickTop="1" thickBot="1" x14ac:dyDescent="0.25">
      <c r="A21" s="1010">
        <v>8</v>
      </c>
      <c r="B21" s="676" t="s">
        <v>1955</v>
      </c>
      <c r="C21" s="293" t="s">
        <v>241</v>
      </c>
      <c r="D21" s="245"/>
      <c r="E21" s="245"/>
      <c r="F21" s="1193">
        <f t="shared" si="4"/>
        <v>0</v>
      </c>
      <c r="G21" s="1469"/>
      <c r="H21" s="1469"/>
      <c r="I21" s="1469"/>
      <c r="J21" s="1469"/>
      <c r="K21" s="1469"/>
      <c r="L21" s="1469"/>
      <c r="M21" s="1469"/>
      <c r="N21" s="915"/>
      <c r="O21" s="292">
        <f>N21</f>
        <v>0</v>
      </c>
      <c r="P21" s="1469"/>
      <c r="Q21" s="1469"/>
      <c r="R21" s="1469"/>
      <c r="S21" s="1469"/>
      <c r="T21" s="1469"/>
      <c r="U21" s="1469"/>
      <c r="V21" s="1469"/>
      <c r="W21" s="1193">
        <f t="shared" si="5"/>
        <v>0</v>
      </c>
      <c r="X21" s="1469"/>
      <c r="Y21" s="1469"/>
      <c r="Z21" s="915"/>
      <c r="AA21" s="916"/>
      <c r="AB21" s="293" t="s">
        <v>241</v>
      </c>
      <c r="AC21" s="677"/>
      <c r="AE21" s="557"/>
      <c r="AF21" s="558"/>
      <c r="AG21" s="558"/>
      <c r="AH21" s="558"/>
      <c r="AI21" s="558"/>
      <c r="AJ21" s="558"/>
      <c r="AK21" s="558"/>
      <c r="AL21" s="332"/>
      <c r="AM21" s="672" t="str">
        <f t="shared" si="2"/>
        <v>OK</v>
      </c>
      <c r="AN21" s="672" t="str">
        <f t="shared" si="3"/>
        <v>OK</v>
      </c>
    </row>
    <row r="22" spans="1:40" s="678" customFormat="1" ht="25.35" customHeight="1" thickTop="1" thickBot="1" x14ac:dyDescent="0.25">
      <c r="A22" s="1010">
        <v>9</v>
      </c>
      <c r="B22" s="676" t="s">
        <v>1956</v>
      </c>
      <c r="C22" s="293" t="s">
        <v>241</v>
      </c>
      <c r="D22" s="245"/>
      <c r="E22" s="245"/>
      <c r="F22" s="1193">
        <f t="shared" si="4"/>
        <v>0</v>
      </c>
      <c r="G22" s="1469"/>
      <c r="H22" s="1469"/>
      <c r="I22" s="1469"/>
      <c r="J22" s="1469"/>
      <c r="K22" s="1469"/>
      <c r="L22" s="1469"/>
      <c r="M22" s="1469"/>
      <c r="N22" s="915"/>
      <c r="O22" s="292">
        <f t="shared" ref="O22:O23" si="12">N22</f>
        <v>0</v>
      </c>
      <c r="P22" s="1469"/>
      <c r="Q22" s="1469"/>
      <c r="R22" s="1469"/>
      <c r="S22" s="1469"/>
      <c r="T22" s="1469"/>
      <c r="U22" s="1469"/>
      <c r="V22" s="1469"/>
      <c r="W22" s="1193">
        <f t="shared" si="5"/>
        <v>0</v>
      </c>
      <c r="X22" s="1469"/>
      <c r="Y22" s="1469"/>
      <c r="Z22" s="915"/>
      <c r="AA22" s="916"/>
      <c r="AB22" s="293" t="s">
        <v>241</v>
      </c>
      <c r="AC22" s="677"/>
      <c r="AE22" s="577" t="str">
        <f t="shared" ref="AE22:AE51" si="13">IF(D22&gt;=0,"OK","ERROR")</f>
        <v>OK</v>
      </c>
      <c r="AF22" s="577" t="str">
        <f t="shared" ref="AF22:AF40" si="14">IF(E22&lt;=0,"OK","ERROR")</f>
        <v>OK</v>
      </c>
      <c r="AG22" s="672" t="str">
        <f>IF(MIN(F22:O22)&gt;=0,"OK","ERROR")</f>
        <v>OK</v>
      </c>
      <c r="AH22" s="672" t="str">
        <f>IF(MAX(P22:S22)&lt;=0,"OK","ERROR")</f>
        <v>OK</v>
      </c>
      <c r="AI22" s="672" t="str">
        <f>IF(MIN(T22:U22)&gt;=0,"OK","ERROR")</f>
        <v>OK</v>
      </c>
      <c r="AJ22" s="672" t="str">
        <f>IF(V22&lt;=0,"OK","ERROR")</f>
        <v>OK</v>
      </c>
      <c r="AK22" s="672" t="str">
        <f>IF(MIN(W22:AA22)&gt;=0,"OK","ERROR")</f>
        <v>OK</v>
      </c>
      <c r="AL22" s="332"/>
      <c r="AM22" s="672" t="str">
        <f t="shared" si="2"/>
        <v>OK</v>
      </c>
      <c r="AN22" s="672" t="str">
        <f t="shared" si="3"/>
        <v>OK</v>
      </c>
    </row>
    <row r="23" spans="1:40" s="678" customFormat="1" ht="25.35" customHeight="1" thickTop="1" thickBot="1" x14ac:dyDescent="0.25">
      <c r="A23" s="1010">
        <v>10</v>
      </c>
      <c r="B23" s="676" t="s">
        <v>1358</v>
      </c>
      <c r="C23" s="293" t="s">
        <v>241</v>
      </c>
      <c r="D23" s="245"/>
      <c r="E23" s="245"/>
      <c r="F23" s="1193">
        <f t="shared" si="4"/>
        <v>0</v>
      </c>
      <c r="G23" s="1469"/>
      <c r="H23" s="1469"/>
      <c r="I23" s="1469"/>
      <c r="J23" s="1469"/>
      <c r="K23" s="1469"/>
      <c r="L23" s="1469"/>
      <c r="M23" s="1469"/>
      <c r="N23" s="915"/>
      <c r="O23" s="292">
        <f t="shared" si="12"/>
        <v>0</v>
      </c>
      <c r="P23" s="1469"/>
      <c r="Q23" s="1469"/>
      <c r="R23" s="1469"/>
      <c r="S23" s="1469"/>
      <c r="T23" s="1469"/>
      <c r="U23" s="1469"/>
      <c r="V23" s="1469"/>
      <c r="W23" s="1193">
        <f t="shared" si="5"/>
        <v>0</v>
      </c>
      <c r="X23" s="1469"/>
      <c r="Y23" s="1469"/>
      <c r="Z23" s="915"/>
      <c r="AA23" s="916"/>
      <c r="AB23" s="293" t="s">
        <v>241</v>
      </c>
      <c r="AC23" s="677"/>
      <c r="AE23" s="577" t="str">
        <f t="shared" si="13"/>
        <v>OK</v>
      </c>
      <c r="AF23" s="577" t="str">
        <f t="shared" si="14"/>
        <v>OK</v>
      </c>
      <c r="AG23" s="672" t="str">
        <f t="shared" ref="AG23:AG34" si="15">IF(MIN(F23:O23)&gt;=0,"OK","ERROR")</f>
        <v>OK</v>
      </c>
      <c r="AH23" s="672" t="str">
        <f t="shared" ref="AH23:AH34" si="16">IF(MAX(P23:S23)&lt;=0,"OK","ERROR")</f>
        <v>OK</v>
      </c>
      <c r="AI23" s="672" t="str">
        <f t="shared" ref="AI23:AI34" si="17">IF(MIN(T23:U23)&gt;=0,"OK","ERROR")</f>
        <v>OK</v>
      </c>
      <c r="AJ23" s="672" t="str">
        <f t="shared" ref="AJ23:AJ34" si="18">IF(V23&lt;=0,"OK","ERROR")</f>
        <v>OK</v>
      </c>
      <c r="AK23" s="672" t="str">
        <f t="shared" ref="AK23:AK34" si="19">IF(MIN(W23:AA23)&gt;=0,"OK","ERROR")</f>
        <v>OK</v>
      </c>
      <c r="AL23" s="332"/>
      <c r="AM23" s="672" t="str">
        <f t="shared" si="2"/>
        <v>OK</v>
      </c>
      <c r="AN23" s="672" t="str">
        <f t="shared" si="3"/>
        <v>OK</v>
      </c>
    </row>
    <row r="24" spans="1:40" ht="52.5" thickTop="1" thickBot="1" x14ac:dyDescent="0.25">
      <c r="A24" s="1010">
        <v>11</v>
      </c>
      <c r="B24" s="679" t="s">
        <v>1440</v>
      </c>
      <c r="C24" s="293"/>
      <c r="D24" s="921">
        <f t="shared" ref="D24:AA24" si="20">D25+D28+D31+D34+D37+D40+D43+D46+D49</f>
        <v>95100000</v>
      </c>
      <c r="E24" s="921">
        <f t="shared" si="20"/>
        <v>0</v>
      </c>
      <c r="F24" s="921">
        <f t="shared" ref="F24" si="21">F25+F28+F31+F34+F37+F40+F43+F46+F49</f>
        <v>95100000</v>
      </c>
      <c r="G24" s="921">
        <f t="shared" si="20"/>
        <v>0</v>
      </c>
      <c r="H24" s="921">
        <f t="shared" si="20"/>
        <v>40000</v>
      </c>
      <c r="I24" s="921">
        <f t="shared" si="20"/>
        <v>0</v>
      </c>
      <c r="J24" s="921">
        <f t="shared" si="20"/>
        <v>0</v>
      </c>
      <c r="K24" s="921">
        <f t="shared" si="20"/>
        <v>0</v>
      </c>
      <c r="L24" s="921">
        <f t="shared" si="20"/>
        <v>0</v>
      </c>
      <c r="M24" s="921">
        <f t="shared" si="20"/>
        <v>0</v>
      </c>
      <c r="N24" s="921">
        <f t="shared" si="20"/>
        <v>0</v>
      </c>
      <c r="O24" s="921">
        <f t="shared" si="20"/>
        <v>95060000</v>
      </c>
      <c r="P24" s="921">
        <f t="shared" si="20"/>
        <v>0</v>
      </c>
      <c r="Q24" s="921">
        <f t="shared" si="20"/>
        <v>0</v>
      </c>
      <c r="R24" s="921">
        <f t="shared" si="20"/>
        <v>0</v>
      </c>
      <c r="S24" s="921">
        <f t="shared" si="20"/>
        <v>0</v>
      </c>
      <c r="T24" s="921">
        <f t="shared" si="20"/>
        <v>0</v>
      </c>
      <c r="U24" s="921">
        <f t="shared" si="20"/>
        <v>95060000</v>
      </c>
      <c r="V24" s="921">
        <f t="shared" si="20"/>
        <v>0</v>
      </c>
      <c r="W24" s="921">
        <f t="shared" si="20"/>
        <v>95060000</v>
      </c>
      <c r="X24" s="921">
        <f t="shared" si="20"/>
        <v>0</v>
      </c>
      <c r="Y24" s="921">
        <f t="shared" si="20"/>
        <v>0</v>
      </c>
      <c r="Z24" s="921">
        <f t="shared" si="20"/>
        <v>0</v>
      </c>
      <c r="AA24" s="921">
        <f t="shared" si="20"/>
        <v>0</v>
      </c>
      <c r="AB24" s="293"/>
      <c r="AC24" s="674"/>
      <c r="AE24" s="577" t="str">
        <f t="shared" si="13"/>
        <v>OK</v>
      </c>
      <c r="AF24" s="577" t="str">
        <f t="shared" si="14"/>
        <v>OK</v>
      </c>
      <c r="AG24" s="672" t="str">
        <f t="shared" si="15"/>
        <v>OK</v>
      </c>
      <c r="AH24" s="672" t="str">
        <f t="shared" si="16"/>
        <v>OK</v>
      </c>
      <c r="AI24" s="672" t="str">
        <f t="shared" si="17"/>
        <v>OK</v>
      </c>
      <c r="AJ24" s="672" t="str">
        <f t="shared" si="18"/>
        <v>OK</v>
      </c>
      <c r="AK24" s="672" t="str">
        <f t="shared" si="19"/>
        <v>OK</v>
      </c>
      <c r="AM24" s="672" t="str">
        <f t="shared" si="2"/>
        <v>ERROR</v>
      </c>
      <c r="AN24" s="672" t="str">
        <f t="shared" si="3"/>
        <v>ERROR</v>
      </c>
    </row>
    <row r="25" spans="1:40" ht="25.35" customHeight="1" thickTop="1" thickBot="1" x14ac:dyDescent="0.25">
      <c r="A25" s="1010">
        <v>12</v>
      </c>
      <c r="B25" s="617" t="s">
        <v>1441</v>
      </c>
      <c r="C25" s="293" t="s">
        <v>241</v>
      </c>
      <c r="D25" s="245">
        <v>94890000</v>
      </c>
      <c r="E25" s="245"/>
      <c r="F25" s="1193">
        <f t="shared" si="4"/>
        <v>94890000</v>
      </c>
      <c r="G25" s="1193"/>
      <c r="H25" s="904">
        <v>0</v>
      </c>
      <c r="I25" s="904"/>
      <c r="J25" s="904"/>
      <c r="K25" s="904"/>
      <c r="L25" s="904"/>
      <c r="M25" s="904"/>
      <c r="N25" s="1193"/>
      <c r="O25" s="923">
        <f>F25-H25-0.9*I25-0.8*J25-0.6*K25-0.5*L25</f>
        <v>94890000</v>
      </c>
      <c r="P25" s="1194"/>
      <c r="Q25" s="1194"/>
      <c r="R25" s="1194"/>
      <c r="S25" s="923">
        <f t="shared" ref="S25:S66" si="22">P25+Q25+R25</f>
        <v>0</v>
      </c>
      <c r="T25" s="1194"/>
      <c r="U25" s="1193">
        <f t="shared" ref="U25:U66" si="23">O25+S25+T25</f>
        <v>94890000</v>
      </c>
      <c r="V25" s="1194"/>
      <c r="W25" s="1193">
        <f t="shared" si="5"/>
        <v>94890000</v>
      </c>
      <c r="X25" s="904"/>
      <c r="Y25" s="904"/>
      <c r="Z25" s="904"/>
      <c r="AA25" s="919"/>
      <c r="AB25" s="293" t="s">
        <v>241</v>
      </c>
      <c r="AC25" s="615"/>
      <c r="AE25" s="577" t="str">
        <f t="shared" si="13"/>
        <v>OK</v>
      </c>
      <c r="AF25" s="577" t="str">
        <f t="shared" si="14"/>
        <v>OK</v>
      </c>
      <c r="AG25" s="672" t="str">
        <f t="shared" si="15"/>
        <v>OK</v>
      </c>
      <c r="AH25" s="672" t="str">
        <f t="shared" si="16"/>
        <v>OK</v>
      </c>
      <c r="AI25" s="672" t="str">
        <f t="shared" si="17"/>
        <v>OK</v>
      </c>
      <c r="AJ25" s="672" t="str">
        <f t="shared" si="18"/>
        <v>OK</v>
      </c>
      <c r="AK25" s="672" t="str">
        <f t="shared" si="19"/>
        <v>OK</v>
      </c>
      <c r="AL25" s="332" t="b">
        <f>AA25&gt;=W25*0.2</f>
        <v>0</v>
      </c>
      <c r="AM25" s="672" t="str">
        <f t="shared" si="2"/>
        <v>ERROR</v>
      </c>
      <c r="AN25" s="672" t="str">
        <f t="shared" si="3"/>
        <v>ERROR</v>
      </c>
    </row>
    <row r="26" spans="1:40" ht="25.35" customHeight="1" thickTop="1" thickBot="1" x14ac:dyDescent="0.25">
      <c r="A26" s="1010">
        <v>13</v>
      </c>
      <c r="B26" s="613" t="s">
        <v>1763</v>
      </c>
      <c r="C26" s="293" t="s">
        <v>241</v>
      </c>
      <c r="D26" s="245">
        <v>0</v>
      </c>
      <c r="E26" s="245"/>
      <c r="F26" s="1193">
        <f t="shared" si="4"/>
        <v>0</v>
      </c>
      <c r="G26" s="915"/>
      <c r="H26" s="318">
        <v>0</v>
      </c>
      <c r="I26" s="318"/>
      <c r="J26" s="318"/>
      <c r="K26" s="318"/>
      <c r="L26" s="318"/>
      <c r="M26" s="318"/>
      <c r="N26" s="915"/>
      <c r="O26" s="614">
        <f t="shared" ref="O26:O62" si="24">F26-H26-0.9*I26-0.8*J26-0.6*K26-0.5*L26</f>
        <v>0</v>
      </c>
      <c r="P26" s="1195"/>
      <c r="Q26" s="1195"/>
      <c r="R26" s="1195"/>
      <c r="S26" s="614">
        <f t="shared" si="22"/>
        <v>0</v>
      </c>
      <c r="T26" s="1195"/>
      <c r="U26" s="1193">
        <f t="shared" si="23"/>
        <v>0</v>
      </c>
      <c r="V26" s="1195"/>
      <c r="W26" s="1193">
        <f t="shared" si="5"/>
        <v>0</v>
      </c>
      <c r="X26" s="916"/>
      <c r="Y26" s="916"/>
      <c r="Z26" s="916"/>
      <c r="AA26" s="915"/>
      <c r="AB26" s="293" t="s">
        <v>241</v>
      </c>
      <c r="AC26" s="615"/>
      <c r="AE26" s="577" t="str">
        <f t="shared" si="13"/>
        <v>OK</v>
      </c>
      <c r="AF26" s="577" t="str">
        <f t="shared" si="14"/>
        <v>OK</v>
      </c>
      <c r="AG26" s="672" t="str">
        <f t="shared" si="15"/>
        <v>OK</v>
      </c>
      <c r="AH26" s="672" t="str">
        <f t="shared" si="16"/>
        <v>OK</v>
      </c>
      <c r="AI26" s="672" t="str">
        <f t="shared" si="17"/>
        <v>OK</v>
      </c>
      <c r="AJ26" s="672" t="str">
        <f t="shared" si="18"/>
        <v>OK</v>
      </c>
      <c r="AK26" s="672" t="str">
        <f t="shared" si="19"/>
        <v>OK</v>
      </c>
      <c r="AL26" s="332" t="b">
        <f t="shared" ref="AL26:AL30" si="25">AA26&gt;=W26*0.2</f>
        <v>1</v>
      </c>
      <c r="AM26" s="672" t="str">
        <f t="shared" si="2"/>
        <v>OK</v>
      </c>
      <c r="AN26" s="672" t="str">
        <f t="shared" si="3"/>
        <v>OK</v>
      </c>
    </row>
    <row r="27" spans="1:40" ht="25.35" customHeight="1" thickTop="1" thickBot="1" x14ac:dyDescent="0.25">
      <c r="A27" s="1010">
        <v>14</v>
      </c>
      <c r="B27" s="613" t="s">
        <v>1731</v>
      </c>
      <c r="C27" s="293" t="s">
        <v>241</v>
      </c>
      <c r="D27" s="245"/>
      <c r="E27" s="245"/>
      <c r="F27" s="1193">
        <f t="shared" si="4"/>
        <v>0</v>
      </c>
      <c r="G27" s="915"/>
      <c r="H27" s="318"/>
      <c r="I27" s="318"/>
      <c r="J27" s="318"/>
      <c r="K27" s="318"/>
      <c r="L27" s="318"/>
      <c r="M27" s="318"/>
      <c r="N27" s="915"/>
      <c r="O27" s="614">
        <f t="shared" si="24"/>
        <v>0</v>
      </c>
      <c r="P27" s="1195"/>
      <c r="Q27" s="1195"/>
      <c r="R27" s="1195"/>
      <c r="S27" s="614">
        <f t="shared" si="22"/>
        <v>0</v>
      </c>
      <c r="T27" s="1195"/>
      <c r="U27" s="1193">
        <f t="shared" si="23"/>
        <v>0</v>
      </c>
      <c r="V27" s="1195"/>
      <c r="W27" s="1193">
        <f t="shared" si="5"/>
        <v>0</v>
      </c>
      <c r="X27" s="916"/>
      <c r="Y27" s="916"/>
      <c r="Z27" s="916"/>
      <c r="AA27" s="915"/>
      <c r="AB27" s="293" t="s">
        <v>241</v>
      </c>
      <c r="AC27" s="615"/>
      <c r="AE27" s="577" t="str">
        <f t="shared" si="13"/>
        <v>OK</v>
      </c>
      <c r="AF27" s="577" t="str">
        <f t="shared" si="14"/>
        <v>OK</v>
      </c>
      <c r="AG27" s="672" t="str">
        <f t="shared" si="15"/>
        <v>OK</v>
      </c>
      <c r="AH27" s="672" t="str">
        <f t="shared" si="16"/>
        <v>OK</v>
      </c>
      <c r="AI27" s="672" t="str">
        <f t="shared" si="17"/>
        <v>OK</v>
      </c>
      <c r="AJ27" s="672" t="str">
        <f t="shared" si="18"/>
        <v>OK</v>
      </c>
      <c r="AK27" s="672" t="str">
        <f t="shared" si="19"/>
        <v>OK</v>
      </c>
      <c r="AL27" s="332" t="b">
        <f t="shared" si="25"/>
        <v>1</v>
      </c>
      <c r="AM27" s="672" t="str">
        <f t="shared" si="2"/>
        <v>OK</v>
      </c>
      <c r="AN27" s="672" t="str">
        <f t="shared" si="3"/>
        <v>OK</v>
      </c>
    </row>
    <row r="28" spans="1:40" ht="25.35" customHeight="1" thickTop="1" thickBot="1" x14ac:dyDescent="0.25">
      <c r="A28" s="1010">
        <v>15</v>
      </c>
      <c r="B28" s="617" t="s">
        <v>1442</v>
      </c>
      <c r="C28" s="293" t="s">
        <v>241</v>
      </c>
      <c r="D28" s="245"/>
      <c r="E28" s="245"/>
      <c r="F28" s="1193">
        <f t="shared" si="4"/>
        <v>0</v>
      </c>
      <c r="G28" s="915"/>
      <c r="H28" s="318"/>
      <c r="I28" s="318"/>
      <c r="J28" s="318"/>
      <c r="K28" s="318"/>
      <c r="L28" s="318"/>
      <c r="M28" s="318"/>
      <c r="N28" s="915"/>
      <c r="O28" s="614">
        <f t="shared" si="24"/>
        <v>0</v>
      </c>
      <c r="P28" s="1195"/>
      <c r="Q28" s="1195"/>
      <c r="R28" s="1195"/>
      <c r="S28" s="614">
        <f>P28+Q28+R28</f>
        <v>0</v>
      </c>
      <c r="T28" s="1195"/>
      <c r="U28" s="1193">
        <f t="shared" si="23"/>
        <v>0</v>
      </c>
      <c r="V28" s="1195"/>
      <c r="W28" s="1193">
        <f t="shared" si="5"/>
        <v>0</v>
      </c>
      <c r="X28" s="916"/>
      <c r="Y28" s="916"/>
      <c r="Z28" s="916"/>
      <c r="AA28" s="915"/>
      <c r="AB28" s="293" t="s">
        <v>241</v>
      </c>
      <c r="AC28" s="615"/>
      <c r="AE28" s="577" t="str">
        <f t="shared" si="13"/>
        <v>OK</v>
      </c>
      <c r="AF28" s="577" t="str">
        <f t="shared" si="14"/>
        <v>OK</v>
      </c>
      <c r="AG28" s="672" t="str">
        <f t="shared" si="15"/>
        <v>OK</v>
      </c>
      <c r="AH28" s="672" t="str">
        <f t="shared" si="16"/>
        <v>OK</v>
      </c>
      <c r="AI28" s="672" t="str">
        <f t="shared" si="17"/>
        <v>OK</v>
      </c>
      <c r="AJ28" s="672" t="str">
        <f t="shared" si="18"/>
        <v>OK</v>
      </c>
      <c r="AK28" s="672" t="str">
        <f t="shared" si="19"/>
        <v>OK</v>
      </c>
      <c r="AL28" s="332" t="b">
        <f t="shared" si="25"/>
        <v>1</v>
      </c>
      <c r="AM28" s="672" t="str">
        <f t="shared" si="2"/>
        <v>OK</v>
      </c>
      <c r="AN28" s="672" t="str">
        <f t="shared" si="3"/>
        <v>OK</v>
      </c>
    </row>
    <row r="29" spans="1:40" ht="25.35" customHeight="1" thickTop="1" thickBot="1" x14ac:dyDescent="0.25">
      <c r="A29" s="1010">
        <v>16</v>
      </c>
      <c r="B29" s="613" t="s">
        <v>1763</v>
      </c>
      <c r="C29" s="293" t="s">
        <v>241</v>
      </c>
      <c r="D29" s="245"/>
      <c r="E29" s="245"/>
      <c r="F29" s="1193">
        <f t="shared" si="4"/>
        <v>0</v>
      </c>
      <c r="G29" s="915"/>
      <c r="H29" s="318"/>
      <c r="I29" s="318"/>
      <c r="J29" s="318"/>
      <c r="K29" s="318"/>
      <c r="L29" s="318"/>
      <c r="M29" s="318"/>
      <c r="N29" s="915"/>
      <c r="O29" s="614">
        <f t="shared" si="24"/>
        <v>0</v>
      </c>
      <c r="P29" s="1195"/>
      <c r="Q29" s="1195"/>
      <c r="R29" s="1195"/>
      <c r="S29" s="614">
        <f t="shared" si="22"/>
        <v>0</v>
      </c>
      <c r="T29" s="1195"/>
      <c r="U29" s="1193">
        <f t="shared" si="23"/>
        <v>0</v>
      </c>
      <c r="V29" s="1195"/>
      <c r="W29" s="1193">
        <f t="shared" si="5"/>
        <v>0</v>
      </c>
      <c r="X29" s="916"/>
      <c r="Y29" s="916"/>
      <c r="Z29" s="916"/>
      <c r="AA29" s="915"/>
      <c r="AB29" s="293" t="s">
        <v>241</v>
      </c>
      <c r="AC29" s="615"/>
      <c r="AE29" s="577" t="str">
        <f t="shared" si="13"/>
        <v>OK</v>
      </c>
      <c r="AF29" s="577" t="str">
        <f t="shared" si="14"/>
        <v>OK</v>
      </c>
      <c r="AG29" s="672" t="str">
        <f t="shared" si="15"/>
        <v>OK</v>
      </c>
      <c r="AH29" s="672" t="str">
        <f t="shared" si="16"/>
        <v>OK</v>
      </c>
      <c r="AI29" s="672" t="str">
        <f t="shared" si="17"/>
        <v>OK</v>
      </c>
      <c r="AJ29" s="672" t="str">
        <f t="shared" si="18"/>
        <v>OK</v>
      </c>
      <c r="AK29" s="672" t="str">
        <f t="shared" si="19"/>
        <v>OK</v>
      </c>
      <c r="AL29" s="332" t="b">
        <f t="shared" si="25"/>
        <v>1</v>
      </c>
      <c r="AM29" s="672" t="str">
        <f t="shared" si="2"/>
        <v>OK</v>
      </c>
      <c r="AN29" s="672" t="str">
        <f t="shared" si="3"/>
        <v>OK</v>
      </c>
    </row>
    <row r="30" spans="1:40" ht="25.35" customHeight="1" thickTop="1" thickBot="1" x14ac:dyDescent="0.25">
      <c r="A30" s="1010">
        <v>17</v>
      </c>
      <c r="B30" s="613" t="s">
        <v>1731</v>
      </c>
      <c r="C30" s="293" t="s">
        <v>241</v>
      </c>
      <c r="D30" s="245"/>
      <c r="E30" s="245"/>
      <c r="F30" s="1193">
        <f t="shared" si="4"/>
        <v>0</v>
      </c>
      <c r="G30" s="915"/>
      <c r="H30" s="318"/>
      <c r="I30" s="318"/>
      <c r="J30" s="318"/>
      <c r="K30" s="318"/>
      <c r="L30" s="318"/>
      <c r="M30" s="318"/>
      <c r="N30" s="915"/>
      <c r="O30" s="614">
        <f t="shared" si="24"/>
        <v>0</v>
      </c>
      <c r="P30" s="1195"/>
      <c r="Q30" s="1195"/>
      <c r="R30" s="1195"/>
      <c r="S30" s="614">
        <f t="shared" si="22"/>
        <v>0</v>
      </c>
      <c r="T30" s="1195"/>
      <c r="U30" s="1193">
        <f t="shared" si="23"/>
        <v>0</v>
      </c>
      <c r="V30" s="1195"/>
      <c r="W30" s="1193">
        <f t="shared" si="5"/>
        <v>0</v>
      </c>
      <c r="X30" s="916"/>
      <c r="Y30" s="916"/>
      <c r="Z30" s="916"/>
      <c r="AA30" s="915"/>
      <c r="AB30" s="293" t="s">
        <v>241</v>
      </c>
      <c r="AC30" s="615"/>
      <c r="AE30" s="577" t="str">
        <f t="shared" si="13"/>
        <v>OK</v>
      </c>
      <c r="AF30" s="577" t="str">
        <f t="shared" si="14"/>
        <v>OK</v>
      </c>
      <c r="AG30" s="672" t="str">
        <f t="shared" si="15"/>
        <v>OK</v>
      </c>
      <c r="AH30" s="672" t="str">
        <f t="shared" si="16"/>
        <v>OK</v>
      </c>
      <c r="AI30" s="672" t="str">
        <f t="shared" si="17"/>
        <v>OK</v>
      </c>
      <c r="AJ30" s="672" t="str">
        <f t="shared" si="18"/>
        <v>OK</v>
      </c>
      <c r="AK30" s="672" t="str">
        <f t="shared" si="19"/>
        <v>OK</v>
      </c>
      <c r="AL30" s="332" t="b">
        <f t="shared" si="25"/>
        <v>1</v>
      </c>
      <c r="AM30" s="672" t="str">
        <f t="shared" si="2"/>
        <v>OK</v>
      </c>
      <c r="AN30" s="672" t="str">
        <f t="shared" si="3"/>
        <v>OK</v>
      </c>
    </row>
    <row r="31" spans="1:40" ht="25.35" customHeight="1" thickTop="1" thickBot="1" x14ac:dyDescent="0.25">
      <c r="A31" s="1010">
        <v>18</v>
      </c>
      <c r="B31" s="617" t="s">
        <v>1443</v>
      </c>
      <c r="C31" s="293" t="s">
        <v>241</v>
      </c>
      <c r="D31" s="245">
        <v>20000</v>
      </c>
      <c r="E31" s="245"/>
      <c r="F31" s="1193">
        <f t="shared" si="4"/>
        <v>20000</v>
      </c>
      <c r="G31" s="915"/>
      <c r="H31" s="318">
        <v>0</v>
      </c>
      <c r="I31" s="318"/>
      <c r="J31" s="318"/>
      <c r="K31" s="318"/>
      <c r="L31" s="318"/>
      <c r="M31" s="318"/>
      <c r="N31" s="915"/>
      <c r="O31" s="614">
        <f t="shared" si="24"/>
        <v>20000</v>
      </c>
      <c r="P31" s="1195"/>
      <c r="Q31" s="1195"/>
      <c r="R31" s="1195"/>
      <c r="S31" s="614">
        <f t="shared" si="22"/>
        <v>0</v>
      </c>
      <c r="T31" s="1195"/>
      <c r="U31" s="1193">
        <f t="shared" si="23"/>
        <v>20000</v>
      </c>
      <c r="V31" s="1195"/>
      <c r="W31" s="1193">
        <f t="shared" si="5"/>
        <v>20000</v>
      </c>
      <c r="X31" s="916"/>
      <c r="Y31" s="916"/>
      <c r="Z31" s="916"/>
      <c r="AA31" s="915"/>
      <c r="AB31" s="293" t="s">
        <v>241</v>
      </c>
      <c r="AC31" s="615"/>
      <c r="AE31" s="577" t="str">
        <f t="shared" si="13"/>
        <v>OK</v>
      </c>
      <c r="AF31" s="577" t="str">
        <f t="shared" si="14"/>
        <v>OK</v>
      </c>
      <c r="AG31" s="672" t="str">
        <f t="shared" si="15"/>
        <v>OK</v>
      </c>
      <c r="AH31" s="672" t="str">
        <f t="shared" si="16"/>
        <v>OK</v>
      </c>
      <c r="AI31" s="672" t="str">
        <f t="shared" si="17"/>
        <v>OK</v>
      </c>
      <c r="AJ31" s="672" t="str">
        <f t="shared" si="18"/>
        <v>OK</v>
      </c>
      <c r="AK31" s="672" t="str">
        <f t="shared" si="19"/>
        <v>OK</v>
      </c>
      <c r="AL31" s="332" t="b">
        <f>AA31&gt;=W31*0.25</f>
        <v>0</v>
      </c>
      <c r="AM31" s="672" t="str">
        <f t="shared" si="2"/>
        <v>ERROR</v>
      </c>
      <c r="AN31" s="672" t="str">
        <f t="shared" si="3"/>
        <v>ERROR</v>
      </c>
    </row>
    <row r="32" spans="1:40" ht="25.35" customHeight="1" thickTop="1" thickBot="1" x14ac:dyDescent="0.25">
      <c r="A32" s="1010">
        <v>19</v>
      </c>
      <c r="B32" s="613" t="s">
        <v>1763</v>
      </c>
      <c r="C32" s="293" t="s">
        <v>241</v>
      </c>
      <c r="D32" s="245">
        <v>20000</v>
      </c>
      <c r="E32" s="245"/>
      <c r="F32" s="1193">
        <f t="shared" si="4"/>
        <v>20000</v>
      </c>
      <c r="G32" s="915"/>
      <c r="H32" s="318">
        <v>0</v>
      </c>
      <c r="I32" s="318"/>
      <c r="J32" s="318"/>
      <c r="K32" s="318"/>
      <c r="L32" s="318"/>
      <c r="M32" s="318"/>
      <c r="N32" s="915"/>
      <c r="O32" s="614">
        <f t="shared" si="24"/>
        <v>20000</v>
      </c>
      <c r="P32" s="1195"/>
      <c r="Q32" s="1195"/>
      <c r="R32" s="1195"/>
      <c r="S32" s="614">
        <f t="shared" si="22"/>
        <v>0</v>
      </c>
      <c r="T32" s="1195"/>
      <c r="U32" s="1193">
        <f t="shared" si="23"/>
        <v>20000</v>
      </c>
      <c r="V32" s="1195"/>
      <c r="W32" s="1193">
        <f t="shared" si="5"/>
        <v>20000</v>
      </c>
      <c r="X32" s="916"/>
      <c r="Y32" s="916"/>
      <c r="Z32" s="916"/>
      <c r="AA32" s="915"/>
      <c r="AB32" s="293" t="s">
        <v>241</v>
      </c>
      <c r="AC32" s="615"/>
      <c r="AE32" s="577" t="str">
        <f t="shared" si="13"/>
        <v>OK</v>
      </c>
      <c r="AF32" s="577" t="str">
        <f t="shared" si="14"/>
        <v>OK</v>
      </c>
      <c r="AG32" s="672" t="str">
        <f t="shared" si="15"/>
        <v>OK</v>
      </c>
      <c r="AH32" s="672" t="str">
        <f t="shared" si="16"/>
        <v>OK</v>
      </c>
      <c r="AI32" s="672" t="str">
        <f t="shared" si="17"/>
        <v>OK</v>
      </c>
      <c r="AJ32" s="672" t="str">
        <f t="shared" si="18"/>
        <v>OK</v>
      </c>
      <c r="AK32" s="672" t="str">
        <f t="shared" si="19"/>
        <v>OK</v>
      </c>
      <c r="AL32" s="332" t="b">
        <f t="shared" ref="AL32:AL33" si="26">AA32&gt;=W32*0.25</f>
        <v>0</v>
      </c>
      <c r="AM32" s="672" t="str">
        <f t="shared" si="2"/>
        <v>ERROR</v>
      </c>
      <c r="AN32" s="672" t="str">
        <f t="shared" si="3"/>
        <v>ERROR</v>
      </c>
    </row>
    <row r="33" spans="1:40" ht="25.35" customHeight="1" thickTop="1" thickBot="1" x14ac:dyDescent="0.25">
      <c r="A33" s="1010">
        <v>20</v>
      </c>
      <c r="B33" s="613" t="s">
        <v>1731</v>
      </c>
      <c r="C33" s="293" t="s">
        <v>241</v>
      </c>
      <c r="D33" s="245"/>
      <c r="E33" s="245"/>
      <c r="F33" s="1193">
        <f t="shared" si="4"/>
        <v>0</v>
      </c>
      <c r="G33" s="915"/>
      <c r="H33" s="318"/>
      <c r="I33" s="318"/>
      <c r="J33" s="318"/>
      <c r="K33" s="318"/>
      <c r="L33" s="318"/>
      <c r="M33" s="318"/>
      <c r="N33" s="915"/>
      <c r="O33" s="614">
        <f t="shared" si="24"/>
        <v>0</v>
      </c>
      <c r="P33" s="1195"/>
      <c r="Q33" s="1195"/>
      <c r="R33" s="1195"/>
      <c r="S33" s="614">
        <f t="shared" si="22"/>
        <v>0</v>
      </c>
      <c r="T33" s="1195"/>
      <c r="U33" s="1193">
        <f t="shared" si="23"/>
        <v>0</v>
      </c>
      <c r="V33" s="1195"/>
      <c r="W33" s="1193">
        <f t="shared" si="5"/>
        <v>0</v>
      </c>
      <c r="X33" s="916"/>
      <c r="Y33" s="916"/>
      <c r="Z33" s="916"/>
      <c r="AA33" s="915"/>
      <c r="AB33" s="293" t="s">
        <v>241</v>
      </c>
      <c r="AC33" s="615"/>
      <c r="AE33" s="577" t="str">
        <f t="shared" si="13"/>
        <v>OK</v>
      </c>
      <c r="AF33" s="577" t="str">
        <f t="shared" si="14"/>
        <v>OK</v>
      </c>
      <c r="AG33" s="672" t="str">
        <f t="shared" si="15"/>
        <v>OK</v>
      </c>
      <c r="AH33" s="672" t="str">
        <f t="shared" si="16"/>
        <v>OK</v>
      </c>
      <c r="AI33" s="672" t="str">
        <f t="shared" si="17"/>
        <v>OK</v>
      </c>
      <c r="AJ33" s="672" t="str">
        <f t="shared" si="18"/>
        <v>OK</v>
      </c>
      <c r="AK33" s="672" t="str">
        <f t="shared" si="19"/>
        <v>OK</v>
      </c>
      <c r="AL33" s="332" t="b">
        <f t="shared" si="26"/>
        <v>1</v>
      </c>
      <c r="AM33" s="672" t="str">
        <f t="shared" si="2"/>
        <v>OK</v>
      </c>
      <c r="AN33" s="672" t="str">
        <f t="shared" si="3"/>
        <v>OK</v>
      </c>
    </row>
    <row r="34" spans="1:40" ht="25.35" customHeight="1" thickTop="1" thickBot="1" x14ac:dyDescent="0.25">
      <c r="A34" s="1010">
        <v>21</v>
      </c>
      <c r="B34" s="617" t="s">
        <v>1444</v>
      </c>
      <c r="C34" s="293" t="s">
        <v>241</v>
      </c>
      <c r="D34" s="245"/>
      <c r="E34" s="245"/>
      <c r="F34" s="1193">
        <f t="shared" si="4"/>
        <v>0</v>
      </c>
      <c r="G34" s="915"/>
      <c r="H34" s="318"/>
      <c r="I34" s="318"/>
      <c r="J34" s="318"/>
      <c r="K34" s="318"/>
      <c r="L34" s="318"/>
      <c r="M34" s="318"/>
      <c r="N34" s="915"/>
      <c r="O34" s="614">
        <f t="shared" si="24"/>
        <v>0</v>
      </c>
      <c r="P34" s="1195"/>
      <c r="Q34" s="1195"/>
      <c r="R34" s="1195"/>
      <c r="S34" s="614">
        <f t="shared" si="22"/>
        <v>0</v>
      </c>
      <c r="T34" s="1195"/>
      <c r="U34" s="1193">
        <f t="shared" si="23"/>
        <v>0</v>
      </c>
      <c r="V34" s="1195"/>
      <c r="W34" s="1193">
        <f t="shared" si="5"/>
        <v>0</v>
      </c>
      <c r="X34" s="916"/>
      <c r="Y34" s="916"/>
      <c r="Z34" s="916"/>
      <c r="AA34" s="915"/>
      <c r="AB34" s="293" t="s">
        <v>241</v>
      </c>
      <c r="AC34" s="615"/>
      <c r="AE34" s="577" t="str">
        <f t="shared" si="13"/>
        <v>OK</v>
      </c>
      <c r="AF34" s="577" t="str">
        <f t="shared" si="14"/>
        <v>OK</v>
      </c>
      <c r="AG34" s="672" t="str">
        <f t="shared" si="15"/>
        <v>OK</v>
      </c>
      <c r="AH34" s="672" t="str">
        <f t="shared" si="16"/>
        <v>OK</v>
      </c>
      <c r="AI34" s="672" t="str">
        <f t="shared" si="17"/>
        <v>OK</v>
      </c>
      <c r="AJ34" s="672" t="str">
        <f t="shared" si="18"/>
        <v>OK</v>
      </c>
      <c r="AK34" s="672" t="str">
        <f t="shared" si="19"/>
        <v>OK</v>
      </c>
      <c r="AL34" s="332" t="b">
        <f>AA34&gt;=W34*0.35</f>
        <v>1</v>
      </c>
      <c r="AM34" s="672" t="str">
        <f t="shared" si="2"/>
        <v>OK</v>
      </c>
      <c r="AN34" s="672" t="str">
        <f t="shared" si="3"/>
        <v>OK</v>
      </c>
    </row>
    <row r="35" spans="1:40" ht="25.35" customHeight="1" thickTop="1" thickBot="1" x14ac:dyDescent="0.25">
      <c r="A35" s="1010">
        <v>22</v>
      </c>
      <c r="B35" s="613" t="s">
        <v>1763</v>
      </c>
      <c r="C35" s="293" t="s">
        <v>241</v>
      </c>
      <c r="D35" s="245"/>
      <c r="E35" s="245"/>
      <c r="F35" s="1193">
        <f t="shared" si="4"/>
        <v>0</v>
      </c>
      <c r="G35" s="915"/>
      <c r="H35" s="318"/>
      <c r="I35" s="318"/>
      <c r="J35" s="318"/>
      <c r="K35" s="318"/>
      <c r="L35" s="318"/>
      <c r="M35" s="318"/>
      <c r="N35" s="915"/>
      <c r="O35" s="614">
        <f t="shared" si="24"/>
        <v>0</v>
      </c>
      <c r="P35" s="1195"/>
      <c r="Q35" s="1195"/>
      <c r="R35" s="1195"/>
      <c r="S35" s="614">
        <f t="shared" si="22"/>
        <v>0</v>
      </c>
      <c r="T35" s="1195"/>
      <c r="U35" s="1193">
        <f t="shared" si="23"/>
        <v>0</v>
      </c>
      <c r="V35" s="1195"/>
      <c r="W35" s="1193">
        <f t="shared" si="5"/>
        <v>0</v>
      </c>
      <c r="X35" s="916"/>
      <c r="Y35" s="916"/>
      <c r="Z35" s="916"/>
      <c r="AA35" s="915"/>
      <c r="AB35" s="293" t="s">
        <v>241</v>
      </c>
      <c r="AC35" s="615"/>
      <c r="AE35" s="577" t="str">
        <f t="shared" ref="AE35" si="27">IF(D35&gt;=0,"OK","ERROR")</f>
        <v>OK</v>
      </c>
      <c r="AF35" s="577" t="str">
        <f t="shared" ref="AF35" si="28">IF(E35&lt;=0,"OK","ERROR")</f>
        <v>OK</v>
      </c>
      <c r="AG35" s="672" t="str">
        <f t="shared" ref="AG35" si="29">IF(MIN(F35:O35)&gt;=0,"OK","ERROR")</f>
        <v>OK</v>
      </c>
      <c r="AH35" s="672" t="str">
        <f t="shared" ref="AH35" si="30">IF(MAX(P35:S35)&lt;=0,"OK","ERROR")</f>
        <v>OK</v>
      </c>
      <c r="AI35" s="672" t="str">
        <f t="shared" ref="AI35" si="31">IF(MIN(T35:U35)&gt;=0,"OK","ERROR")</f>
        <v>OK</v>
      </c>
      <c r="AJ35" s="672" t="str">
        <f t="shared" ref="AJ35" si="32">IF(V35&lt;=0,"OK","ERROR")</f>
        <v>OK</v>
      </c>
      <c r="AK35" s="672" t="str">
        <f t="shared" ref="AK35" si="33">IF(MIN(W35:AA35)&gt;=0,"OK","ERROR")</f>
        <v>OK</v>
      </c>
      <c r="AL35" s="332" t="b">
        <f t="shared" ref="AL35:AL42" si="34">AA35&gt;=W35*0.35</f>
        <v>1</v>
      </c>
      <c r="AM35" s="672" t="str">
        <f t="shared" si="2"/>
        <v>OK</v>
      </c>
      <c r="AN35" s="672" t="str">
        <f t="shared" si="3"/>
        <v>OK</v>
      </c>
    </row>
    <row r="36" spans="1:40" ht="25.35" customHeight="1" thickTop="1" thickBot="1" x14ac:dyDescent="0.25">
      <c r="A36" s="1010">
        <v>23</v>
      </c>
      <c r="B36" s="613" t="s">
        <v>1731</v>
      </c>
      <c r="C36" s="293" t="s">
        <v>241</v>
      </c>
      <c r="D36" s="245"/>
      <c r="E36" s="245"/>
      <c r="F36" s="1193">
        <f t="shared" si="4"/>
        <v>0</v>
      </c>
      <c r="G36" s="915"/>
      <c r="H36" s="318"/>
      <c r="I36" s="318"/>
      <c r="J36" s="318"/>
      <c r="K36" s="318"/>
      <c r="L36" s="318"/>
      <c r="M36" s="318"/>
      <c r="N36" s="915"/>
      <c r="O36" s="614">
        <f t="shared" si="24"/>
        <v>0</v>
      </c>
      <c r="P36" s="1195"/>
      <c r="Q36" s="1195"/>
      <c r="R36" s="1195"/>
      <c r="S36" s="614">
        <f t="shared" si="22"/>
        <v>0</v>
      </c>
      <c r="T36" s="1195"/>
      <c r="U36" s="1193">
        <f t="shared" si="23"/>
        <v>0</v>
      </c>
      <c r="V36" s="1195"/>
      <c r="W36" s="1193">
        <f t="shared" si="5"/>
        <v>0</v>
      </c>
      <c r="X36" s="916"/>
      <c r="Y36" s="916"/>
      <c r="Z36" s="916"/>
      <c r="AA36" s="915"/>
      <c r="AB36" s="293" t="s">
        <v>241</v>
      </c>
      <c r="AC36" s="615"/>
      <c r="AE36" s="577" t="str">
        <f t="shared" si="13"/>
        <v>OK</v>
      </c>
      <c r="AF36" s="577" t="str">
        <f t="shared" si="14"/>
        <v>OK</v>
      </c>
      <c r="AG36" s="672" t="str">
        <f>IF(MIN(F36:O36)&gt;=0,"OK","ERROR")</f>
        <v>OK</v>
      </c>
      <c r="AH36" s="672" t="str">
        <f>IF(MAX(P36:S36)&lt;=0,"OK","ERROR")</f>
        <v>OK</v>
      </c>
      <c r="AI36" s="672" t="str">
        <f>IF(MIN(T36:U36)&gt;=0,"OK","ERROR")</f>
        <v>OK</v>
      </c>
      <c r="AJ36" s="672" t="str">
        <f>IF(V36&lt;=0,"OK","ERROR")</f>
        <v>OK</v>
      </c>
      <c r="AK36" s="672" t="str">
        <f>IF(MIN(W36:AA36)&gt;=0,"OK","ERROR")</f>
        <v>OK</v>
      </c>
      <c r="AL36" s="332" t="b">
        <f t="shared" si="34"/>
        <v>1</v>
      </c>
      <c r="AM36" s="672" t="str">
        <f t="shared" si="2"/>
        <v>OK</v>
      </c>
      <c r="AN36" s="672" t="str">
        <f t="shared" si="3"/>
        <v>OK</v>
      </c>
    </row>
    <row r="37" spans="1:40" ht="20.85" customHeight="1" thickTop="1" thickBot="1" x14ac:dyDescent="0.25">
      <c r="A37" s="1010">
        <v>24</v>
      </c>
      <c r="B37" s="617" t="s">
        <v>1445</v>
      </c>
      <c r="C37" s="293" t="s">
        <v>241</v>
      </c>
      <c r="D37" s="245">
        <v>0</v>
      </c>
      <c r="E37" s="245"/>
      <c r="F37" s="1193">
        <f t="shared" si="4"/>
        <v>0</v>
      </c>
      <c r="G37" s="915"/>
      <c r="H37" s="318">
        <v>0</v>
      </c>
      <c r="I37" s="318"/>
      <c r="J37" s="318"/>
      <c r="K37" s="318"/>
      <c r="L37" s="318"/>
      <c r="M37" s="318"/>
      <c r="N37" s="915"/>
      <c r="O37" s="614">
        <f t="shared" si="24"/>
        <v>0</v>
      </c>
      <c r="P37" s="1195"/>
      <c r="Q37" s="1195"/>
      <c r="R37" s="1195"/>
      <c r="S37" s="614">
        <f t="shared" si="22"/>
        <v>0</v>
      </c>
      <c r="T37" s="1195"/>
      <c r="U37" s="1193">
        <f t="shared" si="23"/>
        <v>0</v>
      </c>
      <c r="V37" s="1195"/>
      <c r="W37" s="1193">
        <f t="shared" si="5"/>
        <v>0</v>
      </c>
      <c r="X37" s="916"/>
      <c r="Y37" s="916"/>
      <c r="Z37" s="916"/>
      <c r="AA37" s="915"/>
      <c r="AB37" s="293" t="s">
        <v>241</v>
      </c>
      <c r="AC37" s="615"/>
      <c r="AE37" s="577" t="str">
        <f t="shared" si="13"/>
        <v>OK</v>
      </c>
      <c r="AF37" s="577" t="str">
        <f t="shared" si="14"/>
        <v>OK</v>
      </c>
      <c r="AG37" s="672" t="str">
        <f>IF(MIN(F37:O37)&gt;=0,"OK","ERROR")</f>
        <v>OK</v>
      </c>
      <c r="AH37" s="672" t="str">
        <f>IF(MAX(P37:S37)&lt;=0,"OK","ERROR")</f>
        <v>OK</v>
      </c>
      <c r="AI37" s="672" t="str">
        <f>IF(MIN(T37:U37)&gt;=0,"OK","ERROR")</f>
        <v>OK</v>
      </c>
      <c r="AJ37" s="672" t="str">
        <f>IF(V37&lt;=0,"OK","ERROR")</f>
        <v>OK</v>
      </c>
      <c r="AK37" s="672" t="str">
        <f>IF(MIN(W37:AA37)&gt;=0,"OK","ERROR")</f>
        <v>OK</v>
      </c>
      <c r="AL37" s="332" t="b">
        <f t="shared" si="34"/>
        <v>1</v>
      </c>
      <c r="AM37" s="672" t="str">
        <f t="shared" si="2"/>
        <v>OK</v>
      </c>
      <c r="AN37" s="672" t="str">
        <f t="shared" si="3"/>
        <v>OK</v>
      </c>
    </row>
    <row r="38" spans="1:40" ht="25.35" customHeight="1" thickTop="1" thickBot="1" x14ac:dyDescent="0.25">
      <c r="A38" s="1010">
        <v>25</v>
      </c>
      <c r="B38" s="613" t="s">
        <v>1763</v>
      </c>
      <c r="C38" s="293" t="s">
        <v>241</v>
      </c>
      <c r="D38" s="245">
        <v>180000</v>
      </c>
      <c r="E38" s="245"/>
      <c r="F38" s="1193">
        <f t="shared" si="4"/>
        <v>180000</v>
      </c>
      <c r="G38" s="915"/>
      <c r="H38" s="318">
        <v>0</v>
      </c>
      <c r="I38" s="318"/>
      <c r="J38" s="318"/>
      <c r="K38" s="318"/>
      <c r="L38" s="318"/>
      <c r="M38" s="318"/>
      <c r="N38" s="915"/>
      <c r="O38" s="614">
        <f t="shared" si="24"/>
        <v>180000</v>
      </c>
      <c r="P38" s="1195"/>
      <c r="Q38" s="1195"/>
      <c r="R38" s="1195"/>
      <c r="S38" s="614">
        <f t="shared" si="22"/>
        <v>0</v>
      </c>
      <c r="T38" s="1195"/>
      <c r="U38" s="1193">
        <f t="shared" si="23"/>
        <v>180000</v>
      </c>
      <c r="V38" s="1195"/>
      <c r="W38" s="1193">
        <f t="shared" si="5"/>
        <v>180000</v>
      </c>
      <c r="X38" s="916"/>
      <c r="Y38" s="916"/>
      <c r="Z38" s="916"/>
      <c r="AA38" s="915"/>
      <c r="AB38" s="293" t="s">
        <v>241</v>
      </c>
      <c r="AC38" s="615"/>
      <c r="AE38" s="577" t="str">
        <f t="shared" si="13"/>
        <v>OK</v>
      </c>
      <c r="AF38" s="577" t="str">
        <f t="shared" si="14"/>
        <v>OK</v>
      </c>
      <c r="AG38" s="672" t="str">
        <f>IF(MIN(F38:O38)&gt;=0,"OK","ERROR")</f>
        <v>OK</v>
      </c>
      <c r="AH38" s="672" t="str">
        <f>IF(MAX(P38:S38)&lt;=0,"OK","ERROR")</f>
        <v>OK</v>
      </c>
      <c r="AI38" s="672" t="str">
        <f>IF(MIN(T38:U38)&gt;=0,"OK","ERROR")</f>
        <v>OK</v>
      </c>
      <c r="AJ38" s="672" t="str">
        <f>IF(V38&lt;=0,"OK","ERROR")</f>
        <v>OK</v>
      </c>
      <c r="AK38" s="672" t="str">
        <f>IF(MIN(W38:AA38)&gt;=0,"OK","ERROR")</f>
        <v>OK</v>
      </c>
      <c r="AL38" s="332" t="b">
        <f t="shared" si="34"/>
        <v>0</v>
      </c>
      <c r="AM38" s="672" t="str">
        <f t="shared" si="2"/>
        <v>ERROR</v>
      </c>
      <c r="AN38" s="672" t="str">
        <f t="shared" si="3"/>
        <v>ERROR</v>
      </c>
    </row>
    <row r="39" spans="1:40" ht="25.35" customHeight="1" thickTop="1" thickBot="1" x14ac:dyDescent="0.25">
      <c r="A39" s="1010">
        <v>26</v>
      </c>
      <c r="B39" s="613" t="s">
        <v>1731</v>
      </c>
      <c r="C39" s="293" t="s">
        <v>241</v>
      </c>
      <c r="D39" s="245"/>
      <c r="E39" s="245"/>
      <c r="F39" s="1193">
        <f t="shared" si="4"/>
        <v>0</v>
      </c>
      <c r="G39" s="915"/>
      <c r="H39" s="318"/>
      <c r="I39" s="318"/>
      <c r="J39" s="318"/>
      <c r="K39" s="318"/>
      <c r="L39" s="318"/>
      <c r="M39" s="318"/>
      <c r="N39" s="915"/>
      <c r="O39" s="614">
        <f t="shared" si="24"/>
        <v>0</v>
      </c>
      <c r="P39" s="1195"/>
      <c r="Q39" s="1195"/>
      <c r="R39" s="1195"/>
      <c r="S39" s="614">
        <f t="shared" si="22"/>
        <v>0</v>
      </c>
      <c r="T39" s="1195"/>
      <c r="U39" s="1193">
        <f t="shared" si="23"/>
        <v>0</v>
      </c>
      <c r="V39" s="1195"/>
      <c r="W39" s="1193">
        <f t="shared" si="5"/>
        <v>0</v>
      </c>
      <c r="X39" s="916"/>
      <c r="Y39" s="916"/>
      <c r="Z39" s="916"/>
      <c r="AA39" s="915"/>
      <c r="AB39" s="293" t="s">
        <v>241</v>
      </c>
      <c r="AC39" s="615"/>
      <c r="AE39" s="577" t="str">
        <f t="shared" si="13"/>
        <v>OK</v>
      </c>
      <c r="AF39" s="577" t="str">
        <f t="shared" si="14"/>
        <v>OK</v>
      </c>
      <c r="AG39" s="672" t="str">
        <f>IF(MIN(F39:O39)&gt;=0,"OK","ERROR")</f>
        <v>OK</v>
      </c>
      <c r="AH39" s="672" t="str">
        <f>IF(MAX(P39:S39)&lt;=0,"OK","ERROR")</f>
        <v>OK</v>
      </c>
      <c r="AI39" s="672" t="str">
        <f>IF(MIN(T39:U39)&gt;=0,"OK","ERROR")</f>
        <v>OK</v>
      </c>
      <c r="AJ39" s="672" t="str">
        <f>IF(V39&lt;=0,"OK","ERROR")</f>
        <v>OK</v>
      </c>
      <c r="AK39" s="672" t="str">
        <f>IF(MIN(W39:AA39)&gt;=0,"OK","ERROR")</f>
        <v>OK</v>
      </c>
      <c r="AL39" s="332" t="b">
        <f t="shared" si="34"/>
        <v>1</v>
      </c>
      <c r="AM39" s="672" t="str">
        <f t="shared" si="2"/>
        <v>OK</v>
      </c>
      <c r="AN39" s="672" t="str">
        <f t="shared" si="3"/>
        <v>OK</v>
      </c>
    </row>
    <row r="40" spans="1:40" ht="25.35" customHeight="1" thickTop="1" thickBot="1" x14ac:dyDescent="0.25">
      <c r="A40" s="1010">
        <v>27</v>
      </c>
      <c r="B40" s="617" t="s">
        <v>1446</v>
      </c>
      <c r="C40" s="293" t="s">
        <v>241</v>
      </c>
      <c r="D40" s="245">
        <v>50000</v>
      </c>
      <c r="E40" s="245"/>
      <c r="F40" s="1193">
        <f t="shared" si="4"/>
        <v>50000</v>
      </c>
      <c r="G40" s="915"/>
      <c r="H40" s="318">
        <v>0</v>
      </c>
      <c r="I40" s="318"/>
      <c r="J40" s="318"/>
      <c r="K40" s="318"/>
      <c r="L40" s="318"/>
      <c r="M40" s="318"/>
      <c r="N40" s="915"/>
      <c r="O40" s="614">
        <f t="shared" si="24"/>
        <v>50000</v>
      </c>
      <c r="P40" s="1195"/>
      <c r="Q40" s="1195"/>
      <c r="R40" s="1195"/>
      <c r="S40" s="614">
        <f t="shared" si="22"/>
        <v>0</v>
      </c>
      <c r="T40" s="1195"/>
      <c r="U40" s="1193">
        <f t="shared" si="23"/>
        <v>50000</v>
      </c>
      <c r="V40" s="1195"/>
      <c r="W40" s="1193">
        <f t="shared" si="5"/>
        <v>50000</v>
      </c>
      <c r="X40" s="916"/>
      <c r="Y40" s="916"/>
      <c r="Z40" s="916"/>
      <c r="AA40" s="915"/>
      <c r="AB40" s="293" t="s">
        <v>241</v>
      </c>
      <c r="AC40" s="615"/>
      <c r="AE40" s="577" t="str">
        <f t="shared" si="13"/>
        <v>OK</v>
      </c>
      <c r="AF40" s="577" t="str">
        <f t="shared" si="14"/>
        <v>OK</v>
      </c>
      <c r="AG40" s="672" t="str">
        <f>IF(MIN(F40:O40)&gt;=0,"OK","ERROR")</f>
        <v>OK</v>
      </c>
      <c r="AH40" s="672" t="str">
        <f>IF(MAX(P40:S40)&lt;=0,"OK","ERROR")</f>
        <v>OK</v>
      </c>
      <c r="AI40" s="672" t="str">
        <f>IF(MIN(T40:U40)&gt;=0,"OK","ERROR")</f>
        <v>OK</v>
      </c>
      <c r="AJ40" s="672" t="str">
        <f>IF(V40&lt;=0,"OK","ERROR")</f>
        <v>OK</v>
      </c>
      <c r="AK40" s="672" t="str">
        <f>IF(MIN(W40:AA40)&gt;=0,"OK","ERROR")</f>
        <v>OK</v>
      </c>
      <c r="AL40" s="332" t="b">
        <f t="shared" si="34"/>
        <v>0</v>
      </c>
      <c r="AM40" s="672" t="str">
        <f t="shared" si="2"/>
        <v>ERROR</v>
      </c>
      <c r="AN40" s="672" t="str">
        <f t="shared" si="3"/>
        <v>ERROR</v>
      </c>
    </row>
    <row r="41" spans="1:40" ht="25.35" customHeight="1" thickTop="1" thickBot="1" x14ac:dyDescent="0.25">
      <c r="A41" s="1010">
        <v>28</v>
      </c>
      <c r="B41" s="613" t="s">
        <v>1763</v>
      </c>
      <c r="C41" s="293" t="s">
        <v>241</v>
      </c>
      <c r="D41" s="245">
        <v>0</v>
      </c>
      <c r="E41" s="245"/>
      <c r="F41" s="1193">
        <f t="shared" si="4"/>
        <v>0</v>
      </c>
      <c r="G41" s="915"/>
      <c r="H41" s="318">
        <v>0</v>
      </c>
      <c r="I41" s="318"/>
      <c r="J41" s="318"/>
      <c r="K41" s="318"/>
      <c r="L41" s="318"/>
      <c r="M41" s="318"/>
      <c r="N41" s="915"/>
      <c r="O41" s="614">
        <f t="shared" si="24"/>
        <v>0</v>
      </c>
      <c r="P41" s="1195"/>
      <c r="Q41" s="1195"/>
      <c r="R41" s="1195"/>
      <c r="S41" s="614">
        <f t="shared" si="22"/>
        <v>0</v>
      </c>
      <c r="T41" s="1195"/>
      <c r="U41" s="1193">
        <f t="shared" si="23"/>
        <v>0</v>
      </c>
      <c r="V41" s="1195"/>
      <c r="W41" s="1193">
        <f t="shared" si="5"/>
        <v>0</v>
      </c>
      <c r="X41" s="916"/>
      <c r="Y41" s="916"/>
      <c r="Z41" s="916"/>
      <c r="AA41" s="915"/>
      <c r="AB41" s="293" t="s">
        <v>241</v>
      </c>
      <c r="AC41" s="615"/>
      <c r="AE41" s="577" t="str">
        <f t="shared" ref="AE41:AE47" si="35">IF(D41&gt;=0,"OK","ERROR")</f>
        <v>OK</v>
      </c>
      <c r="AF41" s="577" t="str">
        <f t="shared" ref="AF41:AF47" si="36">IF(E41&lt;=0,"OK","ERROR")</f>
        <v>OK</v>
      </c>
      <c r="AG41" s="672" t="str">
        <f t="shared" ref="AG41:AG47" si="37">IF(MIN(F41:O41)&gt;=0,"OK","ERROR")</f>
        <v>OK</v>
      </c>
      <c r="AH41" s="672" t="str">
        <f t="shared" ref="AH41:AH47" si="38">IF(MAX(P41:S41)&lt;=0,"OK","ERROR")</f>
        <v>OK</v>
      </c>
      <c r="AI41" s="672" t="str">
        <f t="shared" ref="AI41:AI47" si="39">IF(MIN(T41:U41)&gt;=0,"OK","ERROR")</f>
        <v>OK</v>
      </c>
      <c r="AJ41" s="672" t="str">
        <f t="shared" ref="AJ41:AJ47" si="40">IF(V41&lt;=0,"OK","ERROR")</f>
        <v>OK</v>
      </c>
      <c r="AK41" s="672" t="str">
        <f t="shared" ref="AK41:AK47" si="41">IF(MIN(W41:AA41)&gt;=0,"OK","ERROR")</f>
        <v>OK</v>
      </c>
      <c r="AL41" s="332" t="b">
        <f t="shared" si="34"/>
        <v>1</v>
      </c>
      <c r="AM41" s="672" t="str">
        <f t="shared" si="2"/>
        <v>OK</v>
      </c>
      <c r="AN41" s="672" t="str">
        <f t="shared" si="3"/>
        <v>OK</v>
      </c>
    </row>
    <row r="42" spans="1:40" ht="25.35" customHeight="1" thickTop="1" thickBot="1" x14ac:dyDescent="0.25">
      <c r="A42" s="1010">
        <v>29</v>
      </c>
      <c r="B42" s="613" t="s">
        <v>1731</v>
      </c>
      <c r="C42" s="293" t="s">
        <v>241</v>
      </c>
      <c r="D42" s="245"/>
      <c r="E42" s="245"/>
      <c r="F42" s="1193">
        <f t="shared" si="4"/>
        <v>0</v>
      </c>
      <c r="G42" s="915"/>
      <c r="H42" s="318"/>
      <c r="I42" s="318"/>
      <c r="J42" s="318"/>
      <c r="K42" s="318"/>
      <c r="L42" s="318"/>
      <c r="M42" s="318"/>
      <c r="N42" s="915"/>
      <c r="O42" s="614">
        <f t="shared" si="24"/>
        <v>0</v>
      </c>
      <c r="P42" s="1195"/>
      <c r="Q42" s="1195"/>
      <c r="R42" s="1195"/>
      <c r="S42" s="614">
        <f t="shared" si="22"/>
        <v>0</v>
      </c>
      <c r="T42" s="1195"/>
      <c r="U42" s="1193">
        <f t="shared" si="23"/>
        <v>0</v>
      </c>
      <c r="V42" s="1195"/>
      <c r="W42" s="1193">
        <f t="shared" si="5"/>
        <v>0</v>
      </c>
      <c r="X42" s="916"/>
      <c r="Y42" s="916"/>
      <c r="Z42" s="916"/>
      <c r="AA42" s="915"/>
      <c r="AB42" s="293" t="s">
        <v>241</v>
      </c>
      <c r="AC42" s="615"/>
      <c r="AE42" s="577" t="str">
        <f t="shared" si="35"/>
        <v>OK</v>
      </c>
      <c r="AF42" s="577" t="str">
        <f t="shared" si="36"/>
        <v>OK</v>
      </c>
      <c r="AG42" s="672" t="str">
        <f t="shared" si="37"/>
        <v>OK</v>
      </c>
      <c r="AH42" s="672" t="str">
        <f t="shared" si="38"/>
        <v>OK</v>
      </c>
      <c r="AI42" s="672" t="str">
        <f t="shared" si="39"/>
        <v>OK</v>
      </c>
      <c r="AJ42" s="672" t="str">
        <f t="shared" si="40"/>
        <v>OK</v>
      </c>
      <c r="AK42" s="672" t="str">
        <f t="shared" si="41"/>
        <v>OK</v>
      </c>
      <c r="AL42" s="332" t="b">
        <f t="shared" si="34"/>
        <v>1</v>
      </c>
      <c r="AM42" s="672" t="str">
        <f t="shared" si="2"/>
        <v>OK</v>
      </c>
      <c r="AN42" s="672" t="str">
        <f t="shared" si="3"/>
        <v>OK</v>
      </c>
    </row>
    <row r="43" spans="1:40" ht="25.35" customHeight="1" thickTop="1" thickBot="1" x14ac:dyDescent="0.25">
      <c r="A43" s="1010">
        <v>30</v>
      </c>
      <c r="B43" s="617" t="s">
        <v>1447</v>
      </c>
      <c r="C43" s="293" t="s">
        <v>241</v>
      </c>
      <c r="D43" s="245">
        <v>0</v>
      </c>
      <c r="E43" s="245"/>
      <c r="F43" s="1193">
        <f t="shared" si="4"/>
        <v>0</v>
      </c>
      <c r="G43" s="915"/>
      <c r="H43" s="318">
        <v>0</v>
      </c>
      <c r="I43" s="318"/>
      <c r="J43" s="318"/>
      <c r="K43" s="318"/>
      <c r="L43" s="318"/>
      <c r="M43" s="318"/>
      <c r="N43" s="915"/>
      <c r="O43" s="614">
        <f t="shared" si="24"/>
        <v>0</v>
      </c>
      <c r="P43" s="1195"/>
      <c r="Q43" s="1195"/>
      <c r="R43" s="1195"/>
      <c r="S43" s="614">
        <f t="shared" si="22"/>
        <v>0</v>
      </c>
      <c r="T43" s="1195"/>
      <c r="U43" s="1193">
        <f t="shared" si="23"/>
        <v>0</v>
      </c>
      <c r="V43" s="1195"/>
      <c r="W43" s="1193">
        <f t="shared" si="5"/>
        <v>0</v>
      </c>
      <c r="X43" s="916"/>
      <c r="Y43" s="916"/>
      <c r="Z43" s="916"/>
      <c r="AA43" s="915"/>
      <c r="AB43" s="293" t="s">
        <v>241</v>
      </c>
      <c r="AC43" s="615"/>
      <c r="AE43" s="577" t="str">
        <f t="shared" si="35"/>
        <v>OK</v>
      </c>
      <c r="AF43" s="577" t="str">
        <f t="shared" si="36"/>
        <v>OK</v>
      </c>
      <c r="AG43" s="672" t="str">
        <f t="shared" si="37"/>
        <v>OK</v>
      </c>
      <c r="AH43" s="672" t="str">
        <f t="shared" si="38"/>
        <v>OK</v>
      </c>
      <c r="AI43" s="672" t="str">
        <f t="shared" si="39"/>
        <v>OK</v>
      </c>
      <c r="AJ43" s="672" t="str">
        <f t="shared" si="40"/>
        <v>OK</v>
      </c>
      <c r="AK43" s="672" t="str">
        <f t="shared" si="41"/>
        <v>OK</v>
      </c>
      <c r="AL43" s="332" t="b">
        <f>AA43&gt;=W43*0.45</f>
        <v>1</v>
      </c>
      <c r="AM43" s="672" t="str">
        <f t="shared" si="2"/>
        <v>OK</v>
      </c>
      <c r="AN43" s="672" t="str">
        <f t="shared" si="3"/>
        <v>OK</v>
      </c>
    </row>
    <row r="44" spans="1:40" ht="24.6" customHeight="1" thickTop="1" thickBot="1" x14ac:dyDescent="0.25">
      <c r="A44" s="1010">
        <v>31</v>
      </c>
      <c r="B44" s="613" t="s">
        <v>1763</v>
      </c>
      <c r="C44" s="293" t="s">
        <v>241</v>
      </c>
      <c r="D44" s="245">
        <v>140000</v>
      </c>
      <c r="E44" s="245"/>
      <c r="F44" s="1193">
        <f t="shared" si="4"/>
        <v>140000</v>
      </c>
      <c r="G44" s="915"/>
      <c r="H44" s="318">
        <v>40000</v>
      </c>
      <c r="I44" s="318"/>
      <c r="J44" s="318"/>
      <c r="K44" s="318"/>
      <c r="L44" s="318"/>
      <c r="M44" s="318"/>
      <c r="N44" s="915"/>
      <c r="O44" s="614">
        <f t="shared" si="24"/>
        <v>100000</v>
      </c>
      <c r="P44" s="1195"/>
      <c r="Q44" s="1195"/>
      <c r="R44" s="1195"/>
      <c r="S44" s="614">
        <f t="shared" si="22"/>
        <v>0</v>
      </c>
      <c r="T44" s="1195"/>
      <c r="U44" s="1193">
        <f t="shared" si="23"/>
        <v>100000</v>
      </c>
      <c r="V44" s="1195"/>
      <c r="W44" s="1193">
        <f t="shared" si="5"/>
        <v>100000</v>
      </c>
      <c r="X44" s="916"/>
      <c r="Y44" s="916"/>
      <c r="Z44" s="916"/>
      <c r="AA44" s="915"/>
      <c r="AB44" s="293" t="s">
        <v>241</v>
      </c>
      <c r="AC44" s="615"/>
      <c r="AE44" s="577" t="str">
        <f t="shared" si="35"/>
        <v>OK</v>
      </c>
      <c r="AF44" s="577" t="str">
        <f t="shared" si="36"/>
        <v>OK</v>
      </c>
      <c r="AG44" s="672" t="str">
        <f t="shared" si="37"/>
        <v>OK</v>
      </c>
      <c r="AH44" s="672" t="str">
        <f t="shared" si="38"/>
        <v>OK</v>
      </c>
      <c r="AI44" s="672" t="str">
        <f t="shared" si="39"/>
        <v>OK</v>
      </c>
      <c r="AJ44" s="672" t="str">
        <f t="shared" si="40"/>
        <v>OK</v>
      </c>
      <c r="AK44" s="672" t="str">
        <f t="shared" si="41"/>
        <v>OK</v>
      </c>
      <c r="AL44" s="332" t="b">
        <f t="shared" ref="AL44:AL45" si="42">AA44&gt;=W44*0.45</f>
        <v>0</v>
      </c>
      <c r="AM44" s="672" t="str">
        <f t="shared" si="2"/>
        <v>ERROR</v>
      </c>
      <c r="AN44" s="672" t="str">
        <f t="shared" si="3"/>
        <v>ERROR</v>
      </c>
    </row>
    <row r="45" spans="1:40" ht="25.35" customHeight="1" thickTop="1" thickBot="1" x14ac:dyDescent="0.25">
      <c r="A45" s="1010">
        <v>32</v>
      </c>
      <c r="B45" s="613" t="s">
        <v>1731</v>
      </c>
      <c r="C45" s="293" t="s">
        <v>241</v>
      </c>
      <c r="D45" s="245"/>
      <c r="E45" s="245"/>
      <c r="F45" s="1193">
        <f t="shared" si="4"/>
        <v>0</v>
      </c>
      <c r="G45" s="915"/>
      <c r="H45" s="318"/>
      <c r="I45" s="318"/>
      <c r="J45" s="318"/>
      <c r="K45" s="318"/>
      <c r="L45" s="318"/>
      <c r="M45" s="318"/>
      <c r="N45" s="915"/>
      <c r="O45" s="614">
        <f t="shared" si="24"/>
        <v>0</v>
      </c>
      <c r="P45" s="1195"/>
      <c r="Q45" s="1195"/>
      <c r="R45" s="1195"/>
      <c r="S45" s="614">
        <f t="shared" si="22"/>
        <v>0</v>
      </c>
      <c r="T45" s="1195"/>
      <c r="U45" s="1193">
        <f t="shared" si="23"/>
        <v>0</v>
      </c>
      <c r="V45" s="1195"/>
      <c r="W45" s="1193">
        <f t="shared" si="5"/>
        <v>0</v>
      </c>
      <c r="X45" s="916"/>
      <c r="Y45" s="916"/>
      <c r="Z45" s="916"/>
      <c r="AA45" s="915"/>
      <c r="AB45" s="293" t="s">
        <v>241</v>
      </c>
      <c r="AC45" s="615"/>
      <c r="AE45" s="577" t="str">
        <f t="shared" si="35"/>
        <v>OK</v>
      </c>
      <c r="AF45" s="577" t="str">
        <f t="shared" si="36"/>
        <v>OK</v>
      </c>
      <c r="AG45" s="672" t="str">
        <f t="shared" si="37"/>
        <v>OK</v>
      </c>
      <c r="AH45" s="672" t="str">
        <f t="shared" si="38"/>
        <v>OK</v>
      </c>
      <c r="AI45" s="672" t="str">
        <f t="shared" si="39"/>
        <v>OK</v>
      </c>
      <c r="AJ45" s="672" t="str">
        <f t="shared" si="40"/>
        <v>OK</v>
      </c>
      <c r="AK45" s="672" t="str">
        <f t="shared" si="41"/>
        <v>OK</v>
      </c>
      <c r="AL45" s="332" t="b">
        <f t="shared" si="42"/>
        <v>1</v>
      </c>
      <c r="AM45" s="672" t="str">
        <f t="shared" si="2"/>
        <v>OK</v>
      </c>
      <c r="AN45" s="672" t="str">
        <f t="shared" si="3"/>
        <v>OK</v>
      </c>
    </row>
    <row r="46" spans="1:40" ht="24.6" customHeight="1" thickTop="1" thickBot="1" x14ac:dyDescent="0.25">
      <c r="A46" s="1010">
        <v>33</v>
      </c>
      <c r="B46" s="617" t="s">
        <v>1448</v>
      </c>
      <c r="C46" s="293" t="s">
        <v>241</v>
      </c>
      <c r="D46" s="245">
        <v>140000</v>
      </c>
      <c r="E46" s="245"/>
      <c r="F46" s="1193">
        <f t="shared" si="4"/>
        <v>140000</v>
      </c>
      <c r="G46" s="915"/>
      <c r="H46" s="318">
        <v>40000</v>
      </c>
      <c r="I46" s="318"/>
      <c r="J46" s="318"/>
      <c r="K46" s="318"/>
      <c r="L46" s="318"/>
      <c r="M46" s="318"/>
      <c r="N46" s="915"/>
      <c r="O46" s="614">
        <f t="shared" si="24"/>
        <v>100000</v>
      </c>
      <c r="P46" s="1195"/>
      <c r="Q46" s="1195"/>
      <c r="R46" s="1195"/>
      <c r="S46" s="614">
        <f t="shared" si="22"/>
        <v>0</v>
      </c>
      <c r="T46" s="1195"/>
      <c r="U46" s="1193">
        <f t="shared" si="23"/>
        <v>100000</v>
      </c>
      <c r="V46" s="1195"/>
      <c r="W46" s="1193">
        <f t="shared" si="5"/>
        <v>100000</v>
      </c>
      <c r="X46" s="916"/>
      <c r="Y46" s="916"/>
      <c r="Z46" s="916"/>
      <c r="AA46" s="915"/>
      <c r="AB46" s="293" t="s">
        <v>241</v>
      </c>
      <c r="AC46" s="615"/>
      <c r="AE46" s="577" t="str">
        <f t="shared" si="35"/>
        <v>OK</v>
      </c>
      <c r="AF46" s="577" t="str">
        <f t="shared" si="36"/>
        <v>OK</v>
      </c>
      <c r="AG46" s="672" t="str">
        <f t="shared" si="37"/>
        <v>OK</v>
      </c>
      <c r="AH46" s="672" t="str">
        <f t="shared" si="38"/>
        <v>OK</v>
      </c>
      <c r="AI46" s="672" t="str">
        <f t="shared" si="39"/>
        <v>OK</v>
      </c>
      <c r="AJ46" s="672" t="str">
        <f t="shared" si="40"/>
        <v>OK</v>
      </c>
      <c r="AK46" s="672" t="str">
        <f t="shared" si="41"/>
        <v>OK</v>
      </c>
      <c r="AL46" s="332" t="b">
        <f>AA46&gt;=W46*0.55</f>
        <v>0</v>
      </c>
      <c r="AM46" s="672" t="str">
        <f t="shared" si="2"/>
        <v>ERROR</v>
      </c>
      <c r="AN46" s="672" t="str">
        <f t="shared" si="3"/>
        <v>ERROR</v>
      </c>
    </row>
    <row r="47" spans="1:40" ht="24.6" customHeight="1" thickTop="1" thickBot="1" x14ac:dyDescent="0.25">
      <c r="A47" s="1010">
        <v>34</v>
      </c>
      <c r="B47" s="613" t="s">
        <v>1763</v>
      </c>
      <c r="C47" s="293" t="s">
        <v>241</v>
      </c>
      <c r="D47" s="245">
        <v>0</v>
      </c>
      <c r="E47" s="245"/>
      <c r="F47" s="1193">
        <f t="shared" si="4"/>
        <v>0</v>
      </c>
      <c r="G47" s="915"/>
      <c r="H47" s="318"/>
      <c r="I47" s="318"/>
      <c r="J47" s="318"/>
      <c r="K47" s="318"/>
      <c r="L47" s="318"/>
      <c r="M47" s="318"/>
      <c r="N47" s="915"/>
      <c r="O47" s="614">
        <f t="shared" si="24"/>
        <v>0</v>
      </c>
      <c r="P47" s="1195"/>
      <c r="Q47" s="1195"/>
      <c r="R47" s="1195"/>
      <c r="S47" s="614">
        <f t="shared" si="22"/>
        <v>0</v>
      </c>
      <c r="T47" s="1195"/>
      <c r="U47" s="1193">
        <f t="shared" si="23"/>
        <v>0</v>
      </c>
      <c r="V47" s="1195"/>
      <c r="W47" s="1193">
        <f t="shared" si="5"/>
        <v>0</v>
      </c>
      <c r="X47" s="916"/>
      <c r="Y47" s="916"/>
      <c r="Z47" s="916"/>
      <c r="AA47" s="915"/>
      <c r="AB47" s="293" t="s">
        <v>241</v>
      </c>
      <c r="AC47" s="615"/>
      <c r="AE47" s="577" t="str">
        <f t="shared" si="35"/>
        <v>OK</v>
      </c>
      <c r="AF47" s="577" t="str">
        <f t="shared" si="36"/>
        <v>OK</v>
      </c>
      <c r="AG47" s="672" t="str">
        <f t="shared" si="37"/>
        <v>OK</v>
      </c>
      <c r="AH47" s="672" t="str">
        <f t="shared" si="38"/>
        <v>OK</v>
      </c>
      <c r="AI47" s="672" t="str">
        <f t="shared" si="39"/>
        <v>OK</v>
      </c>
      <c r="AJ47" s="672" t="str">
        <f t="shared" si="40"/>
        <v>OK</v>
      </c>
      <c r="AK47" s="672" t="str">
        <f t="shared" si="41"/>
        <v>OK</v>
      </c>
      <c r="AL47" s="332" t="b">
        <f t="shared" ref="AL47:AL48" si="43">AA47&gt;=W47*0.55</f>
        <v>1</v>
      </c>
      <c r="AM47" s="672" t="str">
        <f t="shared" si="2"/>
        <v>OK</v>
      </c>
      <c r="AN47" s="672" t="str">
        <f t="shared" si="3"/>
        <v>OK</v>
      </c>
    </row>
    <row r="48" spans="1:40" ht="25.35" customHeight="1" thickTop="1" thickBot="1" x14ac:dyDescent="0.25">
      <c r="A48" s="1010">
        <v>35</v>
      </c>
      <c r="B48" s="613" t="s">
        <v>1731</v>
      </c>
      <c r="C48" s="293" t="s">
        <v>241</v>
      </c>
      <c r="D48" s="245"/>
      <c r="E48" s="245"/>
      <c r="F48" s="1193">
        <f t="shared" si="4"/>
        <v>0</v>
      </c>
      <c r="G48" s="915"/>
      <c r="H48" s="318"/>
      <c r="I48" s="318"/>
      <c r="J48" s="318"/>
      <c r="K48" s="318"/>
      <c r="L48" s="318"/>
      <c r="M48" s="318"/>
      <c r="N48" s="915"/>
      <c r="O48" s="614">
        <f t="shared" si="24"/>
        <v>0</v>
      </c>
      <c r="P48" s="1195"/>
      <c r="Q48" s="1195"/>
      <c r="R48" s="1195"/>
      <c r="S48" s="614">
        <f t="shared" si="22"/>
        <v>0</v>
      </c>
      <c r="T48" s="1195"/>
      <c r="U48" s="1193">
        <f t="shared" si="23"/>
        <v>0</v>
      </c>
      <c r="V48" s="1195"/>
      <c r="W48" s="1193">
        <f t="shared" si="5"/>
        <v>0</v>
      </c>
      <c r="X48" s="916"/>
      <c r="Y48" s="916"/>
      <c r="Z48" s="916"/>
      <c r="AA48" s="915"/>
      <c r="AB48" s="293" t="s">
        <v>241</v>
      </c>
      <c r="AC48" s="615"/>
      <c r="AE48" s="577" t="str">
        <f t="shared" si="13"/>
        <v>OK</v>
      </c>
      <c r="AF48" s="577" t="str">
        <f t="shared" ref="AF48:AF51" si="44">IF(E48&lt;=0,"OK","ERROR")</f>
        <v>OK</v>
      </c>
      <c r="AG48" s="672" t="str">
        <f>IF(MIN(F48:O48)&gt;=0,"OK","ERROR")</f>
        <v>OK</v>
      </c>
      <c r="AH48" s="672" t="str">
        <f>IF(MAX(P48:S48)&lt;=0,"OK","ERROR")</f>
        <v>OK</v>
      </c>
      <c r="AI48" s="672" t="str">
        <f>IF(MIN(T48:U48)&gt;=0,"OK","ERROR")</f>
        <v>OK</v>
      </c>
      <c r="AJ48" s="672" t="str">
        <f>IF(V48&lt;=0,"OK","ERROR")</f>
        <v>OK</v>
      </c>
      <c r="AK48" s="672" t="str">
        <f>IF(MIN(W48:AA48)&gt;=0,"OK","ERROR")</f>
        <v>OK</v>
      </c>
      <c r="AL48" s="332" t="b">
        <f t="shared" si="43"/>
        <v>1</v>
      </c>
      <c r="AM48" s="672" t="str">
        <f t="shared" si="2"/>
        <v>OK</v>
      </c>
      <c r="AN48" s="672" t="str">
        <f t="shared" si="3"/>
        <v>OK</v>
      </c>
    </row>
    <row r="49" spans="1:40" ht="24.6" customHeight="1" thickTop="1" thickBot="1" x14ac:dyDescent="0.25">
      <c r="A49" s="1010">
        <v>36</v>
      </c>
      <c r="B49" s="619" t="s">
        <v>1449</v>
      </c>
      <c r="C49" s="293" t="s">
        <v>241</v>
      </c>
      <c r="D49" s="245">
        <v>0</v>
      </c>
      <c r="E49" s="245"/>
      <c r="F49" s="1193">
        <f t="shared" si="4"/>
        <v>0</v>
      </c>
      <c r="G49" s="915"/>
      <c r="H49" s="318"/>
      <c r="I49" s="318"/>
      <c r="J49" s="318"/>
      <c r="K49" s="318"/>
      <c r="L49" s="318"/>
      <c r="M49" s="318"/>
      <c r="N49" s="915"/>
      <c r="O49" s="614">
        <f t="shared" si="24"/>
        <v>0</v>
      </c>
      <c r="P49" s="1195"/>
      <c r="Q49" s="1195"/>
      <c r="R49" s="1195"/>
      <c r="S49" s="614">
        <f t="shared" si="22"/>
        <v>0</v>
      </c>
      <c r="T49" s="1195"/>
      <c r="U49" s="1193">
        <f t="shared" si="23"/>
        <v>0</v>
      </c>
      <c r="V49" s="1195"/>
      <c r="W49" s="1193">
        <f t="shared" si="5"/>
        <v>0</v>
      </c>
      <c r="X49" s="916"/>
      <c r="Y49" s="916"/>
      <c r="Z49" s="916"/>
      <c r="AA49" s="915"/>
      <c r="AB49" s="293" t="s">
        <v>241</v>
      </c>
      <c r="AC49" s="615"/>
      <c r="AE49" s="577" t="str">
        <f t="shared" si="13"/>
        <v>OK</v>
      </c>
      <c r="AF49" s="577" t="str">
        <f t="shared" si="44"/>
        <v>OK</v>
      </c>
      <c r="AG49" s="672" t="str">
        <f>IF(MIN(F49:O49)&gt;=0,"OK","ERROR")</f>
        <v>OK</v>
      </c>
      <c r="AH49" s="672" t="str">
        <f>IF(MAX(P49:S49)&lt;=0,"OK","ERROR")</f>
        <v>OK</v>
      </c>
      <c r="AI49" s="672" t="str">
        <f>IF(MIN(T49:U49)&gt;=0,"OK","ERROR")</f>
        <v>OK</v>
      </c>
      <c r="AJ49" s="672" t="str">
        <f>IF(V49&lt;=0,"OK","ERROR")</f>
        <v>OK</v>
      </c>
      <c r="AK49" s="672" t="str">
        <f>IF(MIN(W49:AA49)&gt;=0,"OK","ERROR")</f>
        <v>OK</v>
      </c>
      <c r="AL49" s="332" t="b">
        <f>AA49&gt;=W49*0.75</f>
        <v>1</v>
      </c>
      <c r="AM49" s="672" t="str">
        <f t="shared" si="2"/>
        <v>OK</v>
      </c>
      <c r="AN49" s="672" t="str">
        <f t="shared" si="3"/>
        <v>OK</v>
      </c>
    </row>
    <row r="50" spans="1:40" ht="24.6" customHeight="1" thickTop="1" thickBot="1" x14ac:dyDescent="0.25">
      <c r="A50" s="1010">
        <v>37</v>
      </c>
      <c r="B50" s="613" t="s">
        <v>1763</v>
      </c>
      <c r="C50" s="293" t="s">
        <v>241</v>
      </c>
      <c r="D50" s="245">
        <v>230000</v>
      </c>
      <c r="E50" s="245"/>
      <c r="F50" s="1193">
        <f t="shared" si="4"/>
        <v>230000</v>
      </c>
      <c r="G50" s="915"/>
      <c r="H50" s="318"/>
      <c r="I50" s="318"/>
      <c r="J50" s="318"/>
      <c r="K50" s="318"/>
      <c r="L50" s="318"/>
      <c r="M50" s="318"/>
      <c r="N50" s="915"/>
      <c r="O50" s="614">
        <f t="shared" si="24"/>
        <v>230000</v>
      </c>
      <c r="P50" s="1195"/>
      <c r="Q50" s="1195"/>
      <c r="R50" s="1195"/>
      <c r="S50" s="614">
        <f t="shared" si="22"/>
        <v>0</v>
      </c>
      <c r="T50" s="1195"/>
      <c r="U50" s="1193">
        <f t="shared" si="23"/>
        <v>230000</v>
      </c>
      <c r="V50" s="1195"/>
      <c r="W50" s="1193">
        <f t="shared" si="5"/>
        <v>230000</v>
      </c>
      <c r="X50" s="916"/>
      <c r="Y50" s="916"/>
      <c r="Z50" s="916"/>
      <c r="AA50" s="915"/>
      <c r="AB50" s="293" t="s">
        <v>241</v>
      </c>
      <c r="AC50" s="615"/>
      <c r="AE50" s="577" t="str">
        <f t="shared" si="13"/>
        <v>OK</v>
      </c>
      <c r="AF50" s="577" t="str">
        <f t="shared" si="44"/>
        <v>OK</v>
      </c>
      <c r="AG50" s="672" t="str">
        <f>IF(MIN(F50:O50)&gt;=0,"OK","ERROR")</f>
        <v>OK</v>
      </c>
      <c r="AH50" s="672" t="str">
        <f>IF(MAX(P50:S50)&lt;=0,"OK","ERROR")</f>
        <v>OK</v>
      </c>
      <c r="AI50" s="672" t="str">
        <f>IF(MIN(T50:U50)&gt;=0,"OK","ERROR")</f>
        <v>OK</v>
      </c>
      <c r="AJ50" s="672" t="str">
        <f>IF(V50&lt;=0,"OK","ERROR")</f>
        <v>OK</v>
      </c>
      <c r="AK50" s="672" t="str">
        <f>IF(MIN(W50:AA50)&gt;=0,"OK","ERROR")</f>
        <v>OK</v>
      </c>
      <c r="AL50" s="332" t="b">
        <f t="shared" ref="AL50" si="45">AA50&gt;=W50*0.75</f>
        <v>0</v>
      </c>
      <c r="AM50" s="672" t="str">
        <f t="shared" si="2"/>
        <v>ERROR</v>
      </c>
      <c r="AN50" s="672" t="str">
        <f t="shared" si="3"/>
        <v>ERROR</v>
      </c>
    </row>
    <row r="51" spans="1:40" ht="25.35" customHeight="1" thickTop="1" thickBot="1" x14ac:dyDescent="0.25">
      <c r="A51" s="1010">
        <v>38</v>
      </c>
      <c r="B51" s="613" t="s">
        <v>1731</v>
      </c>
      <c r="C51" s="293" t="s">
        <v>241</v>
      </c>
      <c r="D51" s="245"/>
      <c r="E51" s="245"/>
      <c r="F51" s="1193">
        <f t="shared" si="4"/>
        <v>0</v>
      </c>
      <c r="G51" s="915"/>
      <c r="H51" s="318"/>
      <c r="I51" s="318"/>
      <c r="J51" s="318"/>
      <c r="K51" s="318"/>
      <c r="L51" s="318"/>
      <c r="M51" s="318"/>
      <c r="N51" s="915"/>
      <c r="O51" s="614">
        <f t="shared" si="24"/>
        <v>0</v>
      </c>
      <c r="P51" s="1195"/>
      <c r="Q51" s="1195"/>
      <c r="R51" s="1195"/>
      <c r="S51" s="614">
        <f t="shared" si="22"/>
        <v>0</v>
      </c>
      <c r="T51" s="1195"/>
      <c r="U51" s="1193">
        <f t="shared" si="23"/>
        <v>0</v>
      </c>
      <c r="V51" s="919"/>
      <c r="W51" s="1193">
        <f t="shared" si="5"/>
        <v>0</v>
      </c>
      <c r="X51" s="916"/>
      <c r="Y51" s="916"/>
      <c r="Z51" s="916"/>
      <c r="AA51" s="915"/>
      <c r="AB51" s="293" t="s">
        <v>241</v>
      </c>
      <c r="AC51" s="615"/>
      <c r="AE51" s="577" t="str">
        <f t="shared" si="13"/>
        <v>OK</v>
      </c>
      <c r="AF51" s="577" t="str">
        <f t="shared" si="44"/>
        <v>OK</v>
      </c>
      <c r="AG51" s="672" t="str">
        <f>IF(MIN(F51:O51)&gt;=0,"OK","ERROR")</f>
        <v>OK</v>
      </c>
      <c r="AH51" s="672" t="str">
        <f>IF(MAX(P51:S51)&lt;=0,"OK","ERROR")</f>
        <v>OK</v>
      </c>
      <c r="AI51" s="672" t="str">
        <f>IF(MIN(T51:U51)&gt;=0,"OK","ERROR")</f>
        <v>OK</v>
      </c>
      <c r="AJ51" s="672" t="str">
        <f>IF(V51&lt;=0,"OK","ERROR")</f>
        <v>OK</v>
      </c>
      <c r="AK51" s="672" t="str">
        <f>IF(MIN(W51:AA51)&gt;=0,"OK","ERROR")</f>
        <v>OK</v>
      </c>
      <c r="AL51" s="332" t="b">
        <f>AA51&gt;=W51*0.75</f>
        <v>1</v>
      </c>
      <c r="AM51" s="672" t="str">
        <f t="shared" si="2"/>
        <v>OK</v>
      </c>
      <c r="AN51" s="672" t="str">
        <f t="shared" si="3"/>
        <v>OK</v>
      </c>
    </row>
    <row r="52" spans="1:40" ht="55.35" customHeight="1" thickTop="1" thickBot="1" x14ac:dyDescent="0.25">
      <c r="A52" s="1010">
        <v>39</v>
      </c>
      <c r="B52" s="673" t="s">
        <v>1485</v>
      </c>
      <c r="C52" s="293"/>
      <c r="D52" s="922">
        <f>D53+D54+D56+D58+D62</f>
        <v>0</v>
      </c>
      <c r="E52" s="922">
        <f t="shared" ref="E52:AA52" si="46">E53+E54+E56+E58+E62</f>
        <v>0</v>
      </c>
      <c r="F52" s="922">
        <f t="shared" ref="F52" si="47">F53+F54+F56+F58+F62</f>
        <v>0</v>
      </c>
      <c r="G52" s="922">
        <f t="shared" si="46"/>
        <v>0</v>
      </c>
      <c r="H52" s="922">
        <f t="shared" si="46"/>
        <v>0</v>
      </c>
      <c r="I52" s="922">
        <f t="shared" si="46"/>
        <v>0</v>
      </c>
      <c r="J52" s="922">
        <f t="shared" si="46"/>
        <v>0</v>
      </c>
      <c r="K52" s="922">
        <f t="shared" si="46"/>
        <v>0</v>
      </c>
      <c r="L52" s="922">
        <f t="shared" si="46"/>
        <v>0</v>
      </c>
      <c r="M52" s="922">
        <f t="shared" si="46"/>
        <v>0</v>
      </c>
      <c r="N52" s="922">
        <f t="shared" si="46"/>
        <v>0</v>
      </c>
      <c r="O52" s="922">
        <f>SUM(O53:O62)</f>
        <v>0</v>
      </c>
      <c r="P52" s="922">
        <f t="shared" si="46"/>
        <v>0</v>
      </c>
      <c r="Q52" s="922">
        <f t="shared" si="46"/>
        <v>0</v>
      </c>
      <c r="R52" s="922">
        <f t="shared" si="46"/>
        <v>0</v>
      </c>
      <c r="S52" s="922">
        <f t="shared" si="46"/>
        <v>0</v>
      </c>
      <c r="T52" s="922">
        <f t="shared" si="46"/>
        <v>0</v>
      </c>
      <c r="U52" s="922">
        <f t="shared" si="46"/>
        <v>0</v>
      </c>
      <c r="V52" s="922">
        <f t="shared" si="46"/>
        <v>0</v>
      </c>
      <c r="W52" s="922">
        <f t="shared" si="46"/>
        <v>0</v>
      </c>
      <c r="X52" s="922">
        <f t="shared" si="46"/>
        <v>0</v>
      </c>
      <c r="Y52" s="922">
        <f t="shared" si="46"/>
        <v>0</v>
      </c>
      <c r="Z52" s="922">
        <f t="shared" si="46"/>
        <v>0</v>
      </c>
      <c r="AA52" s="922">
        <f t="shared" si="46"/>
        <v>0</v>
      </c>
      <c r="AB52" s="293"/>
      <c r="AC52" s="615"/>
      <c r="AE52" s="577" t="str">
        <f t="shared" ref="AE52:AE67" si="48">IF(D52&gt;=0,"OK","ERROR")</f>
        <v>OK</v>
      </c>
      <c r="AF52" s="577" t="str">
        <f t="shared" ref="AF52:AF67" si="49">IF(E52&lt;=0,"OK","ERROR")</f>
        <v>OK</v>
      </c>
      <c r="AG52" s="672" t="str">
        <f t="shared" ref="AG52:AG67" si="50">IF(MIN(F52:O52)&gt;=0,"OK","ERROR")</f>
        <v>OK</v>
      </c>
      <c r="AH52" s="672" t="str">
        <f t="shared" ref="AH52:AH67" si="51">IF(MAX(P52:S52)&lt;=0,"OK","ERROR")</f>
        <v>OK</v>
      </c>
      <c r="AI52" s="672" t="str">
        <f t="shared" ref="AI52:AI67" si="52">IF(MIN(T52:U52)&gt;=0,"OK","ERROR")</f>
        <v>OK</v>
      </c>
      <c r="AJ52" s="672" t="str">
        <f t="shared" ref="AJ52:AJ67" si="53">IF(V52&lt;=0,"OK","ERROR")</f>
        <v>OK</v>
      </c>
      <c r="AK52" s="672" t="str">
        <f t="shared" ref="AK52:AK67" si="54">IF(MIN(W52:AA52)&gt;=0,"OK","ERROR")</f>
        <v>OK</v>
      </c>
      <c r="AM52" s="672" t="str">
        <f t="shared" si="2"/>
        <v>OK</v>
      </c>
      <c r="AN52" s="672" t="str">
        <f t="shared" si="3"/>
        <v>OK</v>
      </c>
    </row>
    <row r="53" spans="1:40" ht="24.6" customHeight="1" thickTop="1" thickBot="1" x14ac:dyDescent="0.25">
      <c r="A53" s="1010">
        <v>40</v>
      </c>
      <c r="B53" s="700" t="s">
        <v>34</v>
      </c>
      <c r="C53" s="293" t="s">
        <v>241</v>
      </c>
      <c r="D53" s="915"/>
      <c r="E53" s="915"/>
      <c r="F53" s="1193">
        <f t="shared" si="4"/>
        <v>0</v>
      </c>
      <c r="G53" s="1193"/>
      <c r="H53" s="1193"/>
      <c r="I53" s="1193"/>
      <c r="J53" s="1193"/>
      <c r="K53" s="1193"/>
      <c r="L53" s="1193"/>
      <c r="M53" s="1193"/>
      <c r="N53" s="1193"/>
      <c r="O53" s="614">
        <f t="shared" si="24"/>
        <v>0</v>
      </c>
      <c r="P53" s="1193"/>
      <c r="Q53" s="1193"/>
      <c r="R53" s="1193"/>
      <c r="S53" s="923">
        <f t="shared" si="22"/>
        <v>0</v>
      </c>
      <c r="T53" s="1193"/>
      <c r="U53" s="1193">
        <f t="shared" si="23"/>
        <v>0</v>
      </c>
      <c r="V53" s="1193"/>
      <c r="W53" s="1193">
        <f t="shared" si="5"/>
        <v>0</v>
      </c>
      <c r="X53" s="1193"/>
      <c r="Y53" s="1193"/>
      <c r="Z53" s="1193"/>
      <c r="AA53" s="915"/>
      <c r="AB53" s="293" t="s">
        <v>241</v>
      </c>
      <c r="AC53" s="615"/>
      <c r="AE53" s="577" t="str">
        <f t="shared" si="48"/>
        <v>OK</v>
      </c>
      <c r="AF53" s="577" t="str">
        <f t="shared" si="49"/>
        <v>OK</v>
      </c>
      <c r="AG53" s="672" t="str">
        <f t="shared" si="50"/>
        <v>OK</v>
      </c>
      <c r="AH53" s="672" t="str">
        <f t="shared" si="51"/>
        <v>OK</v>
      </c>
      <c r="AI53" s="672" t="str">
        <f t="shared" si="52"/>
        <v>OK</v>
      </c>
      <c r="AJ53" s="672" t="str">
        <f t="shared" si="53"/>
        <v>OK</v>
      </c>
      <c r="AK53" s="672" t="str">
        <f t="shared" si="54"/>
        <v>OK</v>
      </c>
      <c r="AL53" s="332" t="b">
        <f>AA53&gt;=W53*B53</f>
        <v>1</v>
      </c>
      <c r="AM53" s="672" t="str">
        <f t="shared" si="2"/>
        <v>OK</v>
      </c>
      <c r="AN53" s="672" t="str">
        <f t="shared" si="3"/>
        <v>OK</v>
      </c>
    </row>
    <row r="54" spans="1:40" ht="24.6" customHeight="1" thickTop="1" thickBot="1" x14ac:dyDescent="0.25">
      <c r="A54" s="1010">
        <v>41</v>
      </c>
      <c r="B54" s="700" t="s">
        <v>1393</v>
      </c>
      <c r="C54" s="293" t="s">
        <v>241</v>
      </c>
      <c r="D54" s="915"/>
      <c r="E54" s="915"/>
      <c r="F54" s="1193">
        <f t="shared" si="4"/>
        <v>0</v>
      </c>
      <c r="G54" s="915"/>
      <c r="H54" s="915"/>
      <c r="I54" s="915"/>
      <c r="J54" s="915"/>
      <c r="K54" s="915"/>
      <c r="L54" s="915"/>
      <c r="M54" s="915"/>
      <c r="N54" s="915"/>
      <c r="O54" s="614">
        <f t="shared" si="24"/>
        <v>0</v>
      </c>
      <c r="P54" s="915"/>
      <c r="Q54" s="915"/>
      <c r="R54" s="915"/>
      <c r="S54" s="614">
        <f t="shared" si="22"/>
        <v>0</v>
      </c>
      <c r="T54" s="915"/>
      <c r="U54" s="1193">
        <f t="shared" si="23"/>
        <v>0</v>
      </c>
      <c r="V54" s="915"/>
      <c r="W54" s="1193">
        <f t="shared" si="5"/>
        <v>0</v>
      </c>
      <c r="X54" s="915"/>
      <c r="Y54" s="915"/>
      <c r="Z54" s="915"/>
      <c r="AA54" s="915"/>
      <c r="AB54" s="293" t="s">
        <v>241</v>
      </c>
      <c r="AC54" s="615"/>
      <c r="AE54" s="577" t="str">
        <f t="shared" si="48"/>
        <v>OK</v>
      </c>
      <c r="AF54" s="577" t="str">
        <f t="shared" si="49"/>
        <v>OK</v>
      </c>
      <c r="AG54" s="672" t="str">
        <f t="shared" si="50"/>
        <v>OK</v>
      </c>
      <c r="AH54" s="672" t="str">
        <f t="shared" si="51"/>
        <v>OK</v>
      </c>
      <c r="AI54" s="672" t="str">
        <f t="shared" si="52"/>
        <v>OK</v>
      </c>
      <c r="AJ54" s="672" t="str">
        <f t="shared" si="53"/>
        <v>OK</v>
      </c>
      <c r="AK54" s="672" t="str">
        <f t="shared" si="54"/>
        <v>OK</v>
      </c>
      <c r="AL54" s="332" t="b">
        <f t="shared" ref="AL54:AL63" si="55">AA54&gt;=W54*B54</f>
        <v>1</v>
      </c>
      <c r="AM54" s="672" t="str">
        <f t="shared" si="2"/>
        <v>OK</v>
      </c>
      <c r="AN54" s="672" t="str">
        <f t="shared" si="3"/>
        <v>OK</v>
      </c>
    </row>
    <row r="55" spans="1:40" ht="24.6" customHeight="1" thickTop="1" thickBot="1" x14ac:dyDescent="0.25">
      <c r="A55" s="1010">
        <v>42</v>
      </c>
      <c r="B55" s="700">
        <v>0.3</v>
      </c>
      <c r="C55" s="293"/>
      <c r="D55" s="915"/>
      <c r="E55" s="915"/>
      <c r="F55" s="1193">
        <f t="shared" si="4"/>
        <v>0</v>
      </c>
      <c r="G55" s="915"/>
      <c r="H55" s="915"/>
      <c r="I55" s="915"/>
      <c r="J55" s="915"/>
      <c r="K55" s="915"/>
      <c r="L55" s="915"/>
      <c r="M55" s="915"/>
      <c r="N55" s="915"/>
      <c r="O55" s="614">
        <f t="shared" si="24"/>
        <v>0</v>
      </c>
      <c r="P55" s="915"/>
      <c r="Q55" s="915"/>
      <c r="R55" s="915"/>
      <c r="S55" s="614">
        <f t="shared" si="22"/>
        <v>0</v>
      </c>
      <c r="T55" s="915"/>
      <c r="U55" s="1193">
        <f t="shared" si="23"/>
        <v>0</v>
      </c>
      <c r="V55" s="915"/>
      <c r="W55" s="1193">
        <f t="shared" si="5"/>
        <v>0</v>
      </c>
      <c r="X55" s="915"/>
      <c r="Y55" s="915"/>
      <c r="Z55" s="915"/>
      <c r="AA55" s="915"/>
      <c r="AB55" s="293"/>
      <c r="AC55" s="615"/>
      <c r="AE55" s="577" t="str">
        <f t="shared" si="48"/>
        <v>OK</v>
      </c>
      <c r="AF55" s="577" t="str">
        <f t="shared" si="49"/>
        <v>OK</v>
      </c>
      <c r="AG55" s="672" t="str">
        <f t="shared" si="50"/>
        <v>OK</v>
      </c>
      <c r="AH55" s="672" t="str">
        <f t="shared" si="51"/>
        <v>OK</v>
      </c>
      <c r="AI55" s="672" t="str">
        <f t="shared" si="52"/>
        <v>OK</v>
      </c>
      <c r="AJ55" s="672" t="str">
        <f t="shared" si="53"/>
        <v>OK</v>
      </c>
      <c r="AK55" s="672" t="str">
        <f t="shared" si="54"/>
        <v>OK</v>
      </c>
      <c r="AL55" s="332" t="b">
        <f t="shared" si="55"/>
        <v>1</v>
      </c>
      <c r="AM55" s="672" t="str">
        <f t="shared" si="2"/>
        <v>OK</v>
      </c>
      <c r="AN55" s="672" t="str">
        <f t="shared" si="3"/>
        <v>OK</v>
      </c>
    </row>
    <row r="56" spans="1:40" ht="24.6" customHeight="1" thickTop="1" thickBot="1" x14ac:dyDescent="0.25">
      <c r="A56" s="1010">
        <v>43</v>
      </c>
      <c r="B56" s="700" t="s">
        <v>1395</v>
      </c>
      <c r="C56" s="293" t="s">
        <v>241</v>
      </c>
      <c r="D56" s="915"/>
      <c r="E56" s="915"/>
      <c r="F56" s="1193">
        <f t="shared" si="4"/>
        <v>0</v>
      </c>
      <c r="G56" s="915"/>
      <c r="H56" s="915"/>
      <c r="I56" s="915"/>
      <c r="J56" s="915"/>
      <c r="K56" s="915"/>
      <c r="L56" s="915"/>
      <c r="M56" s="915"/>
      <c r="N56" s="915"/>
      <c r="O56" s="614">
        <f t="shared" si="24"/>
        <v>0</v>
      </c>
      <c r="P56" s="915"/>
      <c r="Q56" s="915"/>
      <c r="R56" s="915"/>
      <c r="S56" s="614">
        <f t="shared" si="22"/>
        <v>0</v>
      </c>
      <c r="T56" s="915"/>
      <c r="U56" s="1193">
        <f t="shared" si="23"/>
        <v>0</v>
      </c>
      <c r="V56" s="915"/>
      <c r="W56" s="1193">
        <f t="shared" si="5"/>
        <v>0</v>
      </c>
      <c r="X56" s="915"/>
      <c r="Y56" s="915"/>
      <c r="Z56" s="915"/>
      <c r="AA56" s="915"/>
      <c r="AB56" s="293" t="s">
        <v>241</v>
      </c>
      <c r="AC56" s="615"/>
      <c r="AE56" s="577" t="str">
        <f t="shared" si="48"/>
        <v>OK</v>
      </c>
      <c r="AF56" s="577" t="str">
        <f t="shared" si="49"/>
        <v>OK</v>
      </c>
      <c r="AG56" s="672" t="str">
        <f t="shared" si="50"/>
        <v>OK</v>
      </c>
      <c r="AH56" s="672" t="str">
        <f t="shared" si="51"/>
        <v>OK</v>
      </c>
      <c r="AI56" s="672" t="str">
        <f t="shared" si="52"/>
        <v>OK</v>
      </c>
      <c r="AJ56" s="672" t="str">
        <f t="shared" si="53"/>
        <v>OK</v>
      </c>
      <c r="AK56" s="672" t="str">
        <f t="shared" si="54"/>
        <v>OK</v>
      </c>
      <c r="AL56" s="332" t="b">
        <f t="shared" si="55"/>
        <v>1</v>
      </c>
      <c r="AM56" s="672" t="str">
        <f t="shared" si="2"/>
        <v>OK</v>
      </c>
      <c r="AN56" s="672" t="str">
        <f t="shared" si="3"/>
        <v>OK</v>
      </c>
    </row>
    <row r="57" spans="1:40" ht="24.6" customHeight="1" thickTop="1" thickBot="1" x14ac:dyDescent="0.25">
      <c r="A57" s="1010">
        <v>44</v>
      </c>
      <c r="B57" s="700">
        <v>0.5</v>
      </c>
      <c r="C57" s="293"/>
      <c r="D57" s="915"/>
      <c r="E57" s="915"/>
      <c r="F57" s="1193">
        <f t="shared" si="4"/>
        <v>0</v>
      </c>
      <c r="G57" s="915"/>
      <c r="H57" s="915"/>
      <c r="I57" s="915"/>
      <c r="J57" s="915"/>
      <c r="K57" s="915"/>
      <c r="L57" s="915"/>
      <c r="M57" s="915"/>
      <c r="N57" s="915"/>
      <c r="O57" s="614">
        <f t="shared" si="24"/>
        <v>0</v>
      </c>
      <c r="P57" s="915"/>
      <c r="Q57" s="915"/>
      <c r="R57" s="915"/>
      <c r="S57" s="614">
        <f t="shared" si="22"/>
        <v>0</v>
      </c>
      <c r="T57" s="915"/>
      <c r="U57" s="1193">
        <f t="shared" si="23"/>
        <v>0</v>
      </c>
      <c r="V57" s="915"/>
      <c r="W57" s="1193">
        <f t="shared" si="5"/>
        <v>0</v>
      </c>
      <c r="X57" s="915"/>
      <c r="Y57" s="915"/>
      <c r="Z57" s="915"/>
      <c r="AA57" s="915"/>
      <c r="AB57" s="293"/>
      <c r="AC57" s="615"/>
      <c r="AE57" s="577" t="str">
        <f t="shared" si="48"/>
        <v>OK</v>
      </c>
      <c r="AF57" s="577" t="str">
        <f t="shared" si="49"/>
        <v>OK</v>
      </c>
      <c r="AG57" s="672" t="str">
        <f t="shared" si="50"/>
        <v>OK</v>
      </c>
      <c r="AH57" s="672" t="str">
        <f t="shared" si="51"/>
        <v>OK</v>
      </c>
      <c r="AI57" s="672" t="str">
        <f t="shared" si="52"/>
        <v>OK</v>
      </c>
      <c r="AJ57" s="672" t="str">
        <f t="shared" si="53"/>
        <v>OK</v>
      </c>
      <c r="AK57" s="672" t="str">
        <f t="shared" si="54"/>
        <v>OK</v>
      </c>
      <c r="AL57" s="332" t="b">
        <f t="shared" si="55"/>
        <v>1</v>
      </c>
      <c r="AM57" s="672" t="str">
        <f t="shared" si="2"/>
        <v>OK</v>
      </c>
      <c r="AN57" s="672" t="str">
        <f t="shared" si="3"/>
        <v>OK</v>
      </c>
    </row>
    <row r="58" spans="1:40" ht="24.6" customHeight="1" thickTop="1" thickBot="1" x14ac:dyDescent="0.25">
      <c r="A58" s="1010">
        <v>45</v>
      </c>
      <c r="B58" s="700" t="s">
        <v>1397</v>
      </c>
      <c r="C58" s="293" t="s">
        <v>241</v>
      </c>
      <c r="D58" s="915"/>
      <c r="E58" s="915"/>
      <c r="F58" s="1193">
        <f t="shared" si="4"/>
        <v>0</v>
      </c>
      <c r="G58" s="915"/>
      <c r="H58" s="915"/>
      <c r="I58" s="915"/>
      <c r="J58" s="915"/>
      <c r="K58" s="915"/>
      <c r="L58" s="915"/>
      <c r="M58" s="915"/>
      <c r="N58" s="915"/>
      <c r="O58" s="614">
        <f t="shared" si="24"/>
        <v>0</v>
      </c>
      <c r="P58" s="915"/>
      <c r="Q58" s="915"/>
      <c r="R58" s="915"/>
      <c r="S58" s="614">
        <f t="shared" si="22"/>
        <v>0</v>
      </c>
      <c r="T58" s="915"/>
      <c r="U58" s="1193">
        <f t="shared" si="23"/>
        <v>0</v>
      </c>
      <c r="V58" s="915"/>
      <c r="W58" s="1193">
        <f t="shared" si="5"/>
        <v>0</v>
      </c>
      <c r="X58" s="915"/>
      <c r="Y58" s="915"/>
      <c r="Z58" s="915"/>
      <c r="AA58" s="915"/>
      <c r="AB58" s="293" t="s">
        <v>241</v>
      </c>
      <c r="AC58" s="615"/>
      <c r="AE58" s="577" t="str">
        <f t="shared" si="48"/>
        <v>OK</v>
      </c>
      <c r="AF58" s="577" t="str">
        <f t="shared" si="49"/>
        <v>OK</v>
      </c>
      <c r="AG58" s="672" t="str">
        <f t="shared" si="50"/>
        <v>OK</v>
      </c>
      <c r="AH58" s="672" t="str">
        <f t="shared" si="51"/>
        <v>OK</v>
      </c>
      <c r="AI58" s="672" t="str">
        <f t="shared" si="52"/>
        <v>OK</v>
      </c>
      <c r="AJ58" s="672" t="str">
        <f t="shared" si="53"/>
        <v>OK</v>
      </c>
      <c r="AK58" s="672" t="str">
        <f t="shared" si="54"/>
        <v>OK</v>
      </c>
      <c r="AL58" s="332" t="b">
        <f t="shared" si="55"/>
        <v>1</v>
      </c>
      <c r="AM58" s="672" t="str">
        <f t="shared" si="2"/>
        <v>OK</v>
      </c>
      <c r="AN58" s="672" t="str">
        <f t="shared" si="3"/>
        <v>OK</v>
      </c>
    </row>
    <row r="59" spans="1:40" ht="24.6" customHeight="1" thickTop="1" thickBot="1" x14ac:dyDescent="0.25">
      <c r="A59" s="1010">
        <v>46</v>
      </c>
      <c r="B59" s="700">
        <v>0.85</v>
      </c>
      <c r="C59" s="293"/>
      <c r="D59" s="915"/>
      <c r="E59" s="915"/>
      <c r="F59" s="1193">
        <f t="shared" si="4"/>
        <v>0</v>
      </c>
      <c r="G59" s="915"/>
      <c r="H59" s="915"/>
      <c r="I59" s="915"/>
      <c r="J59" s="915"/>
      <c r="K59" s="915"/>
      <c r="L59" s="915"/>
      <c r="M59" s="915"/>
      <c r="N59" s="915"/>
      <c r="O59" s="614">
        <f t="shared" si="24"/>
        <v>0</v>
      </c>
      <c r="P59" s="915"/>
      <c r="Q59" s="915"/>
      <c r="R59" s="915"/>
      <c r="S59" s="614">
        <f t="shared" si="22"/>
        <v>0</v>
      </c>
      <c r="T59" s="915"/>
      <c r="U59" s="1193">
        <f t="shared" si="23"/>
        <v>0</v>
      </c>
      <c r="V59" s="915"/>
      <c r="W59" s="1193">
        <f t="shared" si="5"/>
        <v>0</v>
      </c>
      <c r="X59" s="915"/>
      <c r="Y59" s="915"/>
      <c r="Z59" s="915"/>
      <c r="AA59" s="915"/>
      <c r="AB59" s="293"/>
      <c r="AC59" s="615"/>
      <c r="AE59" s="577" t="str">
        <f t="shared" si="48"/>
        <v>OK</v>
      </c>
      <c r="AF59" s="577" t="str">
        <f t="shared" si="49"/>
        <v>OK</v>
      </c>
      <c r="AG59" s="672" t="str">
        <f t="shared" si="50"/>
        <v>OK</v>
      </c>
      <c r="AH59" s="672" t="str">
        <f t="shared" si="51"/>
        <v>OK</v>
      </c>
      <c r="AI59" s="672" t="str">
        <f t="shared" si="52"/>
        <v>OK</v>
      </c>
      <c r="AJ59" s="672" t="str">
        <f t="shared" si="53"/>
        <v>OK</v>
      </c>
      <c r="AK59" s="672" t="str">
        <f t="shared" si="54"/>
        <v>OK</v>
      </c>
      <c r="AL59" s="332" t="b">
        <f t="shared" si="55"/>
        <v>1</v>
      </c>
      <c r="AM59" s="672" t="str">
        <f t="shared" si="2"/>
        <v>OK</v>
      </c>
      <c r="AN59" s="672" t="str">
        <f t="shared" si="3"/>
        <v>OK</v>
      </c>
    </row>
    <row r="60" spans="1:40" ht="24.6" customHeight="1" thickTop="1" thickBot="1" x14ac:dyDescent="0.25">
      <c r="A60" s="1010">
        <v>47</v>
      </c>
      <c r="B60" s="700">
        <v>0.9</v>
      </c>
      <c r="C60" s="293"/>
      <c r="D60" s="915"/>
      <c r="E60" s="915"/>
      <c r="F60" s="1193">
        <f t="shared" si="4"/>
        <v>0</v>
      </c>
      <c r="G60" s="915"/>
      <c r="H60" s="915"/>
      <c r="I60" s="915"/>
      <c r="J60" s="915"/>
      <c r="K60" s="915"/>
      <c r="L60" s="915"/>
      <c r="M60" s="915"/>
      <c r="N60" s="915"/>
      <c r="O60" s="614">
        <f t="shared" si="24"/>
        <v>0</v>
      </c>
      <c r="P60" s="915"/>
      <c r="Q60" s="915"/>
      <c r="R60" s="915"/>
      <c r="S60" s="614">
        <f t="shared" si="22"/>
        <v>0</v>
      </c>
      <c r="T60" s="915"/>
      <c r="U60" s="1193">
        <f t="shared" si="23"/>
        <v>0</v>
      </c>
      <c r="V60" s="915"/>
      <c r="W60" s="1193">
        <f t="shared" si="5"/>
        <v>0</v>
      </c>
      <c r="X60" s="915"/>
      <c r="Y60" s="915"/>
      <c r="Z60" s="915"/>
      <c r="AA60" s="915"/>
      <c r="AB60" s="293"/>
      <c r="AC60" s="615"/>
      <c r="AE60" s="577" t="str">
        <f t="shared" si="48"/>
        <v>OK</v>
      </c>
      <c r="AF60" s="577" t="str">
        <f t="shared" si="49"/>
        <v>OK</v>
      </c>
      <c r="AG60" s="672" t="str">
        <f t="shared" si="50"/>
        <v>OK</v>
      </c>
      <c r="AH60" s="672" t="str">
        <f t="shared" si="51"/>
        <v>OK</v>
      </c>
      <c r="AI60" s="672" t="str">
        <f t="shared" si="52"/>
        <v>OK</v>
      </c>
      <c r="AJ60" s="672" t="str">
        <f t="shared" si="53"/>
        <v>OK</v>
      </c>
      <c r="AK60" s="672" t="str">
        <f t="shared" si="54"/>
        <v>OK</v>
      </c>
      <c r="AL60" s="332" t="b">
        <f t="shared" si="55"/>
        <v>1</v>
      </c>
      <c r="AM60" s="672" t="str">
        <f t="shared" si="2"/>
        <v>OK</v>
      </c>
      <c r="AN60" s="672" t="str">
        <f t="shared" si="3"/>
        <v>OK</v>
      </c>
    </row>
    <row r="61" spans="1:40" ht="24.6" customHeight="1" thickTop="1" thickBot="1" x14ac:dyDescent="0.25">
      <c r="A61" s="1010">
        <v>48</v>
      </c>
      <c r="B61" s="700">
        <v>1</v>
      </c>
      <c r="C61" s="293"/>
      <c r="D61" s="915"/>
      <c r="E61" s="915"/>
      <c r="F61" s="1193">
        <f t="shared" si="4"/>
        <v>0</v>
      </c>
      <c r="G61" s="915"/>
      <c r="H61" s="915"/>
      <c r="I61" s="915"/>
      <c r="J61" s="915"/>
      <c r="K61" s="915"/>
      <c r="L61" s="915"/>
      <c r="M61" s="915"/>
      <c r="N61" s="915"/>
      <c r="O61" s="614">
        <f t="shared" si="24"/>
        <v>0</v>
      </c>
      <c r="P61" s="915"/>
      <c r="Q61" s="915"/>
      <c r="R61" s="915"/>
      <c r="S61" s="614">
        <f t="shared" si="22"/>
        <v>0</v>
      </c>
      <c r="T61" s="915"/>
      <c r="U61" s="1193">
        <f t="shared" si="23"/>
        <v>0</v>
      </c>
      <c r="V61" s="915"/>
      <c r="W61" s="1193">
        <f t="shared" si="5"/>
        <v>0</v>
      </c>
      <c r="X61" s="915"/>
      <c r="Y61" s="915"/>
      <c r="Z61" s="915"/>
      <c r="AA61" s="915"/>
      <c r="AB61" s="293"/>
      <c r="AC61" s="615"/>
      <c r="AE61" s="577" t="str">
        <f t="shared" si="48"/>
        <v>OK</v>
      </c>
      <c r="AF61" s="577" t="str">
        <f t="shared" si="49"/>
        <v>OK</v>
      </c>
      <c r="AG61" s="672" t="str">
        <f t="shared" si="50"/>
        <v>OK</v>
      </c>
      <c r="AH61" s="672" t="str">
        <f t="shared" si="51"/>
        <v>OK</v>
      </c>
      <c r="AI61" s="672" t="str">
        <f t="shared" si="52"/>
        <v>OK</v>
      </c>
      <c r="AJ61" s="672" t="str">
        <f t="shared" si="53"/>
        <v>OK</v>
      </c>
      <c r="AK61" s="672" t="str">
        <f t="shared" si="54"/>
        <v>OK</v>
      </c>
      <c r="AL61" s="332" t="b">
        <f t="shared" si="55"/>
        <v>1</v>
      </c>
      <c r="AM61" s="672" t="str">
        <f t="shared" si="2"/>
        <v>OK</v>
      </c>
      <c r="AN61" s="672" t="str">
        <f t="shared" si="3"/>
        <v>OK</v>
      </c>
    </row>
    <row r="62" spans="1:40" ht="24.6" customHeight="1" thickTop="1" thickBot="1" x14ac:dyDescent="0.25">
      <c r="A62" s="1010">
        <v>49</v>
      </c>
      <c r="B62" s="700" t="s">
        <v>1398</v>
      </c>
      <c r="C62" s="293" t="s">
        <v>241</v>
      </c>
      <c r="D62" s="915"/>
      <c r="E62" s="915"/>
      <c r="F62" s="1193">
        <f t="shared" si="4"/>
        <v>0</v>
      </c>
      <c r="G62" s="915"/>
      <c r="H62" s="915"/>
      <c r="I62" s="915"/>
      <c r="J62" s="915"/>
      <c r="K62" s="915"/>
      <c r="L62" s="915"/>
      <c r="M62" s="915"/>
      <c r="N62" s="915"/>
      <c r="O62" s="614">
        <f t="shared" si="24"/>
        <v>0</v>
      </c>
      <c r="P62" s="915"/>
      <c r="Q62" s="915"/>
      <c r="R62" s="915"/>
      <c r="S62" s="614">
        <f t="shared" si="22"/>
        <v>0</v>
      </c>
      <c r="T62" s="915"/>
      <c r="U62" s="1193">
        <f t="shared" si="23"/>
        <v>0</v>
      </c>
      <c r="V62" s="915"/>
      <c r="W62" s="1193">
        <f t="shared" si="5"/>
        <v>0</v>
      </c>
      <c r="X62" s="915"/>
      <c r="Y62" s="915"/>
      <c r="Z62" s="915"/>
      <c r="AA62" s="915"/>
      <c r="AB62" s="293" t="s">
        <v>241</v>
      </c>
      <c r="AC62" s="615"/>
      <c r="AE62" s="577" t="str">
        <f t="shared" si="48"/>
        <v>OK</v>
      </c>
      <c r="AF62" s="577" t="str">
        <f t="shared" si="49"/>
        <v>OK</v>
      </c>
      <c r="AG62" s="672" t="str">
        <f t="shared" si="50"/>
        <v>OK</v>
      </c>
      <c r="AH62" s="672" t="str">
        <f t="shared" si="51"/>
        <v>OK</v>
      </c>
      <c r="AI62" s="672" t="str">
        <f t="shared" si="52"/>
        <v>OK</v>
      </c>
      <c r="AJ62" s="672" t="str">
        <f t="shared" si="53"/>
        <v>OK</v>
      </c>
      <c r="AK62" s="672" t="str">
        <f t="shared" si="54"/>
        <v>OK</v>
      </c>
      <c r="AL62" s="332" t="b">
        <f t="shared" si="55"/>
        <v>1</v>
      </c>
      <c r="AM62" s="672" t="str">
        <f t="shared" si="2"/>
        <v>OK</v>
      </c>
      <c r="AN62" s="672" t="str">
        <f t="shared" si="3"/>
        <v>OK</v>
      </c>
    </row>
    <row r="63" spans="1:40" ht="24.6" customHeight="1" thickTop="1" thickBot="1" x14ac:dyDescent="0.25">
      <c r="A63" s="1010">
        <v>50</v>
      </c>
      <c r="B63" s="681" t="s">
        <v>1436</v>
      </c>
      <c r="C63" s="293"/>
      <c r="D63" s="922">
        <f>D64+D67</f>
        <v>0</v>
      </c>
      <c r="E63" s="922">
        <f t="shared" ref="E63:AA63" si="56">E64+E67</f>
        <v>0</v>
      </c>
      <c r="F63" s="922">
        <f t="shared" ref="F63" si="57">F64+F67</f>
        <v>0</v>
      </c>
      <c r="G63" s="922">
        <f t="shared" si="56"/>
        <v>0</v>
      </c>
      <c r="H63" s="922">
        <f t="shared" si="56"/>
        <v>0</v>
      </c>
      <c r="I63" s="922">
        <f t="shared" si="56"/>
        <v>0</v>
      </c>
      <c r="J63" s="922">
        <f t="shared" si="56"/>
        <v>0</v>
      </c>
      <c r="K63" s="922">
        <f t="shared" si="56"/>
        <v>0</v>
      </c>
      <c r="L63" s="922">
        <f t="shared" si="56"/>
        <v>0</v>
      </c>
      <c r="M63" s="922">
        <f t="shared" si="56"/>
        <v>0</v>
      </c>
      <c r="N63" s="922">
        <f t="shared" si="56"/>
        <v>0</v>
      </c>
      <c r="O63" s="922">
        <f>O64+O67</f>
        <v>0</v>
      </c>
      <c r="P63" s="922">
        <f t="shared" si="56"/>
        <v>0</v>
      </c>
      <c r="Q63" s="922">
        <f t="shared" si="56"/>
        <v>0</v>
      </c>
      <c r="R63" s="922">
        <f t="shared" si="56"/>
        <v>0</v>
      </c>
      <c r="S63" s="922">
        <f t="shared" si="56"/>
        <v>0</v>
      </c>
      <c r="T63" s="922">
        <f t="shared" si="56"/>
        <v>0</v>
      </c>
      <c r="U63" s="922">
        <f>U64+U67</f>
        <v>0</v>
      </c>
      <c r="V63" s="922">
        <f t="shared" si="56"/>
        <v>0</v>
      </c>
      <c r="W63" s="922">
        <f t="shared" si="56"/>
        <v>0</v>
      </c>
      <c r="X63" s="922">
        <f t="shared" si="56"/>
        <v>0</v>
      </c>
      <c r="Y63" s="922">
        <f t="shared" si="56"/>
        <v>0</v>
      </c>
      <c r="Z63" s="922">
        <f t="shared" si="56"/>
        <v>0</v>
      </c>
      <c r="AA63" s="922">
        <f t="shared" si="56"/>
        <v>0</v>
      </c>
      <c r="AB63" s="293"/>
      <c r="AC63" s="615"/>
      <c r="AE63" s="577" t="str">
        <f t="shared" si="48"/>
        <v>OK</v>
      </c>
      <c r="AF63" s="577" t="str">
        <f t="shared" si="49"/>
        <v>OK</v>
      </c>
      <c r="AG63" s="672" t="str">
        <f t="shared" si="50"/>
        <v>OK</v>
      </c>
      <c r="AH63" s="672" t="str">
        <f t="shared" si="51"/>
        <v>OK</v>
      </c>
      <c r="AI63" s="672" t="str">
        <f t="shared" si="52"/>
        <v>OK</v>
      </c>
      <c r="AJ63" s="672" t="str">
        <f t="shared" si="53"/>
        <v>OK</v>
      </c>
      <c r="AK63" s="672" t="str">
        <f t="shared" si="54"/>
        <v>OK</v>
      </c>
      <c r="AL63" s="332" t="e">
        <f t="shared" si="55"/>
        <v>#VALUE!</v>
      </c>
      <c r="AM63" s="672" t="str">
        <f t="shared" si="2"/>
        <v>OK</v>
      </c>
      <c r="AN63" s="672" t="str">
        <f t="shared" si="3"/>
        <v>OK</v>
      </c>
    </row>
    <row r="64" spans="1:40" ht="24.6" customHeight="1" thickTop="1" thickBot="1" x14ac:dyDescent="0.25">
      <c r="A64" s="1010">
        <v>51</v>
      </c>
      <c r="B64" s="619">
        <v>1</v>
      </c>
      <c r="C64" s="293" t="s">
        <v>241</v>
      </c>
      <c r="D64" s="245"/>
      <c r="E64" s="245"/>
      <c r="F64" s="1193">
        <f t="shared" si="4"/>
        <v>0</v>
      </c>
      <c r="G64" s="1193"/>
      <c r="H64" s="904"/>
      <c r="I64" s="904"/>
      <c r="J64" s="904"/>
      <c r="K64" s="904"/>
      <c r="L64" s="904"/>
      <c r="M64" s="904"/>
      <c r="N64" s="1193"/>
      <c r="O64" s="915"/>
      <c r="P64" s="1196"/>
      <c r="Q64" s="1194"/>
      <c r="R64" s="1194"/>
      <c r="S64" s="923">
        <f t="shared" si="22"/>
        <v>0</v>
      </c>
      <c r="T64" s="1194"/>
      <c r="U64" s="1193">
        <f t="shared" si="23"/>
        <v>0</v>
      </c>
      <c r="V64" s="1195"/>
      <c r="W64" s="1193">
        <f t="shared" si="5"/>
        <v>0</v>
      </c>
      <c r="X64" s="904"/>
      <c r="Y64" s="904"/>
      <c r="Z64" s="904"/>
      <c r="AA64" s="915"/>
      <c r="AB64" s="293" t="s">
        <v>241</v>
      </c>
      <c r="AC64" s="615"/>
      <c r="AE64" s="577" t="str">
        <f t="shared" si="48"/>
        <v>OK</v>
      </c>
      <c r="AF64" s="577" t="str">
        <f t="shared" si="49"/>
        <v>OK</v>
      </c>
      <c r="AG64" s="672" t="str">
        <f t="shared" si="50"/>
        <v>OK</v>
      </c>
      <c r="AH64" s="672" t="str">
        <f t="shared" si="51"/>
        <v>OK</v>
      </c>
      <c r="AI64" s="672" t="str">
        <f t="shared" si="52"/>
        <v>OK</v>
      </c>
      <c r="AJ64" s="672" t="str">
        <f t="shared" si="53"/>
        <v>OK</v>
      </c>
      <c r="AK64" s="672" t="str">
        <f t="shared" si="54"/>
        <v>OK</v>
      </c>
      <c r="AL64" s="332" t="b">
        <f>AA64=W64</f>
        <v>1</v>
      </c>
      <c r="AM64" s="672" t="str">
        <f t="shared" si="2"/>
        <v>OK</v>
      </c>
      <c r="AN64" s="672" t="str">
        <f t="shared" si="3"/>
        <v>OK</v>
      </c>
    </row>
    <row r="65" spans="1:40" ht="24.6" customHeight="1" thickTop="1" thickBot="1" x14ac:dyDescent="0.25">
      <c r="A65" s="1010">
        <v>52</v>
      </c>
      <c r="B65" s="613" t="s">
        <v>1763</v>
      </c>
      <c r="C65" s="293" t="s">
        <v>241</v>
      </c>
      <c r="D65" s="245"/>
      <c r="E65" s="245"/>
      <c r="F65" s="1193">
        <f t="shared" si="4"/>
        <v>0</v>
      </c>
      <c r="G65" s="915"/>
      <c r="H65" s="318"/>
      <c r="I65" s="318"/>
      <c r="J65" s="318"/>
      <c r="K65" s="318"/>
      <c r="L65" s="318"/>
      <c r="M65" s="318"/>
      <c r="N65" s="915"/>
      <c r="O65" s="614">
        <f t="shared" ref="O65:O66" si="58">F65-H65-0.9*I65-0.8*J65-0.6*K65-0.5*L65</f>
        <v>0</v>
      </c>
      <c r="P65" s="1197"/>
      <c r="Q65" s="1195"/>
      <c r="R65" s="1195"/>
      <c r="S65" s="614">
        <f t="shared" si="22"/>
        <v>0</v>
      </c>
      <c r="T65" s="1195"/>
      <c r="U65" s="1193">
        <f t="shared" si="23"/>
        <v>0</v>
      </c>
      <c r="V65" s="1195"/>
      <c r="W65" s="1193">
        <f t="shared" si="5"/>
        <v>0</v>
      </c>
      <c r="X65" s="916"/>
      <c r="Y65" s="916"/>
      <c r="Z65" s="916"/>
      <c r="AA65" s="915"/>
      <c r="AB65" s="293" t="s">
        <v>241</v>
      </c>
      <c r="AC65" s="615"/>
      <c r="AE65" s="577" t="str">
        <f t="shared" si="48"/>
        <v>OK</v>
      </c>
      <c r="AF65" s="577" t="str">
        <f t="shared" si="49"/>
        <v>OK</v>
      </c>
      <c r="AG65" s="672" t="str">
        <f t="shared" si="50"/>
        <v>OK</v>
      </c>
      <c r="AH65" s="672" t="str">
        <f t="shared" si="51"/>
        <v>OK</v>
      </c>
      <c r="AI65" s="672" t="str">
        <f t="shared" si="52"/>
        <v>OK</v>
      </c>
      <c r="AJ65" s="672" t="str">
        <f t="shared" si="53"/>
        <v>OK</v>
      </c>
      <c r="AK65" s="672" t="str">
        <f t="shared" si="54"/>
        <v>OK</v>
      </c>
      <c r="AL65" s="332" t="b">
        <f t="shared" ref="AL65:AL66" si="59">AA65=W65</f>
        <v>1</v>
      </c>
      <c r="AM65" s="672" t="str">
        <f t="shared" si="2"/>
        <v>OK</v>
      </c>
      <c r="AN65" s="672" t="str">
        <f t="shared" si="3"/>
        <v>OK</v>
      </c>
    </row>
    <row r="66" spans="1:40" ht="24.6" customHeight="1" thickTop="1" thickBot="1" x14ac:dyDescent="0.25">
      <c r="A66" s="1010">
        <v>53</v>
      </c>
      <c r="B66" s="613" t="s">
        <v>1731</v>
      </c>
      <c r="C66" s="293"/>
      <c r="D66" s="245"/>
      <c r="E66" s="245"/>
      <c r="F66" s="1193">
        <f t="shared" si="4"/>
        <v>0</v>
      </c>
      <c r="G66" s="915"/>
      <c r="H66" s="318"/>
      <c r="I66" s="318"/>
      <c r="J66" s="318"/>
      <c r="K66" s="318"/>
      <c r="L66" s="318"/>
      <c r="M66" s="318"/>
      <c r="N66" s="915"/>
      <c r="O66" s="614">
        <f t="shared" si="58"/>
        <v>0</v>
      </c>
      <c r="P66" s="1197"/>
      <c r="Q66" s="1195"/>
      <c r="R66" s="1195"/>
      <c r="S66" s="614">
        <f t="shared" si="22"/>
        <v>0</v>
      </c>
      <c r="T66" s="1195"/>
      <c r="U66" s="1193">
        <f t="shared" si="23"/>
        <v>0</v>
      </c>
      <c r="V66" s="1195"/>
      <c r="W66" s="1193">
        <f t="shared" si="5"/>
        <v>0</v>
      </c>
      <c r="X66" s="916"/>
      <c r="Y66" s="916"/>
      <c r="Z66" s="916"/>
      <c r="AA66" s="915"/>
      <c r="AB66" s="293"/>
      <c r="AC66" s="615"/>
      <c r="AE66" s="577" t="str">
        <f t="shared" si="48"/>
        <v>OK</v>
      </c>
      <c r="AF66" s="577" t="str">
        <f t="shared" si="49"/>
        <v>OK</v>
      </c>
      <c r="AG66" s="672" t="str">
        <f t="shared" si="50"/>
        <v>OK</v>
      </c>
      <c r="AH66" s="672" t="str">
        <f t="shared" si="51"/>
        <v>OK</v>
      </c>
      <c r="AI66" s="672" t="str">
        <f t="shared" si="52"/>
        <v>OK</v>
      </c>
      <c r="AJ66" s="672" t="str">
        <f t="shared" si="53"/>
        <v>OK</v>
      </c>
      <c r="AK66" s="672" t="str">
        <f t="shared" si="54"/>
        <v>OK</v>
      </c>
      <c r="AL66" s="332" t="b">
        <f t="shared" si="59"/>
        <v>1</v>
      </c>
      <c r="AM66" s="672" t="str">
        <f t="shared" si="2"/>
        <v>OK</v>
      </c>
      <c r="AN66" s="672" t="str">
        <f t="shared" si="3"/>
        <v>OK</v>
      </c>
    </row>
    <row r="67" spans="1:40" ht="24.6" customHeight="1" thickTop="1" x14ac:dyDescent="0.2">
      <c r="A67" s="1010">
        <v>54</v>
      </c>
      <c r="B67" s="619">
        <v>1.5</v>
      </c>
      <c r="C67" s="293" t="s">
        <v>241</v>
      </c>
      <c r="D67" s="245"/>
      <c r="E67" s="245"/>
      <c r="F67" s="245"/>
      <c r="G67" s="915"/>
      <c r="H67" s="318"/>
      <c r="I67" s="318"/>
      <c r="J67" s="318"/>
      <c r="K67" s="318"/>
      <c r="L67" s="318"/>
      <c r="M67" s="318"/>
      <c r="N67" s="915"/>
      <c r="O67" s="915"/>
      <c r="P67" s="1472"/>
      <c r="Q67" s="1195"/>
      <c r="R67" s="1195"/>
      <c r="S67" s="1195"/>
      <c r="T67" s="1195"/>
      <c r="U67" s="318"/>
      <c r="V67" s="1195"/>
      <c r="W67" s="318"/>
      <c r="X67" s="916"/>
      <c r="Y67" s="916"/>
      <c r="Z67" s="916"/>
      <c r="AA67" s="915"/>
      <c r="AB67" s="293" t="s">
        <v>241</v>
      </c>
      <c r="AC67" s="615"/>
      <c r="AE67" s="577" t="str">
        <f t="shared" si="48"/>
        <v>OK</v>
      </c>
      <c r="AF67" s="577" t="str">
        <f t="shared" si="49"/>
        <v>OK</v>
      </c>
      <c r="AG67" s="672" t="str">
        <f t="shared" si="50"/>
        <v>OK</v>
      </c>
      <c r="AH67" s="672" t="str">
        <f t="shared" si="51"/>
        <v>OK</v>
      </c>
      <c r="AI67" s="672" t="str">
        <f t="shared" si="52"/>
        <v>OK</v>
      </c>
      <c r="AJ67" s="672" t="str">
        <f t="shared" si="53"/>
        <v>OK</v>
      </c>
      <c r="AK67" s="672" t="str">
        <f t="shared" si="54"/>
        <v>OK</v>
      </c>
      <c r="AL67" s="332" t="b">
        <f>AA67=W67*1.5</f>
        <v>1</v>
      </c>
      <c r="AM67" s="672" t="str">
        <f t="shared" si="2"/>
        <v>OK</v>
      </c>
      <c r="AN67" s="672" t="str">
        <f t="shared" si="3"/>
        <v>OK</v>
      </c>
    </row>
    <row r="68" spans="1:40" ht="7.5" customHeight="1" x14ac:dyDescent="0.2">
      <c r="A68" s="554"/>
      <c r="B68" s="682"/>
      <c r="C68" s="648"/>
      <c r="D68" s="625"/>
      <c r="E68" s="625"/>
      <c r="F68" s="625"/>
      <c r="G68" s="625"/>
      <c r="H68" s="625"/>
      <c r="I68" s="625"/>
      <c r="J68" s="625"/>
      <c r="K68" s="625"/>
      <c r="L68" s="625"/>
      <c r="M68" s="625"/>
      <c r="N68" s="625"/>
      <c r="O68" s="625"/>
      <c r="P68" s="625"/>
      <c r="Q68" s="625"/>
      <c r="R68" s="625"/>
      <c r="S68" s="625"/>
      <c r="T68" s="625"/>
      <c r="U68" s="625"/>
      <c r="V68" s="625"/>
      <c r="W68" s="625"/>
      <c r="X68" s="625"/>
      <c r="Y68" s="625"/>
      <c r="Z68" s="625"/>
      <c r="AA68" s="625"/>
      <c r="AB68" s="648"/>
      <c r="AC68" s="680"/>
    </row>
    <row r="69" spans="1:40" ht="18.75" customHeight="1" x14ac:dyDescent="0.2">
      <c r="A69" s="442"/>
      <c r="B69" s="683" t="str">
        <f>"Version: "&amp;D76</f>
        <v>Version: 2.01.E0</v>
      </c>
      <c r="C69" s="442"/>
      <c r="D69" s="442"/>
      <c r="E69" s="442"/>
      <c r="F69" s="442"/>
      <c r="G69" s="442"/>
      <c r="H69" s="442"/>
      <c r="I69" s="442"/>
      <c r="J69" s="442"/>
      <c r="K69" s="442"/>
      <c r="L69" s="442"/>
      <c r="M69" s="442"/>
      <c r="N69" s="442"/>
      <c r="O69" s="442"/>
      <c r="P69" s="442"/>
      <c r="Q69" s="442"/>
      <c r="R69" s="442"/>
      <c r="S69" s="442"/>
      <c r="T69" s="442"/>
      <c r="U69" s="442"/>
      <c r="V69" s="442"/>
      <c r="W69" s="442"/>
      <c r="X69" s="442"/>
      <c r="Y69" s="442"/>
      <c r="Z69" s="442"/>
      <c r="AA69" s="442"/>
      <c r="AB69" s="685" t="s">
        <v>24</v>
      </c>
      <c r="AC69" s="615"/>
      <c r="AE69" s="975"/>
      <c r="AF69" s="975"/>
      <c r="AG69" s="975"/>
      <c r="AH69" s="975"/>
      <c r="AI69" s="975"/>
      <c r="AJ69" s="975"/>
      <c r="AK69" s="975"/>
      <c r="AL69" s="975"/>
      <c r="AM69" s="975"/>
      <c r="AN69" s="975"/>
    </row>
    <row r="70" spans="1:40" ht="18.75" customHeight="1" x14ac:dyDescent="0.2">
      <c r="A70" s="442"/>
      <c r="B70" s="442"/>
      <c r="C70" s="442"/>
      <c r="D70" s="442"/>
      <c r="E70" s="442"/>
      <c r="F70" s="442"/>
      <c r="G70" s="442"/>
      <c r="H70" s="442"/>
      <c r="I70" s="442"/>
      <c r="J70" s="442"/>
      <c r="K70" s="442"/>
      <c r="L70" s="442"/>
      <c r="M70" s="442"/>
      <c r="N70" s="442"/>
      <c r="O70" s="442"/>
      <c r="P70" s="442"/>
      <c r="Q70" s="442"/>
      <c r="R70" s="442"/>
      <c r="S70" s="442"/>
      <c r="T70" s="442"/>
      <c r="U70" s="442"/>
      <c r="V70" s="442"/>
      <c r="W70" s="442"/>
      <c r="X70" s="442"/>
      <c r="Y70" s="442"/>
      <c r="Z70" s="442"/>
      <c r="AA70" s="442"/>
      <c r="AB70" s="442"/>
      <c r="AC70" s="615"/>
    </row>
    <row r="71" spans="1:40" ht="18.75" customHeight="1" x14ac:dyDescent="0.2">
      <c r="U71" s="684"/>
      <c r="W71" s="684"/>
      <c r="X71" s="684"/>
      <c r="Y71" s="684"/>
      <c r="Z71" s="684"/>
    </row>
    <row r="72" spans="1:40" ht="18.75" customHeight="1" x14ac:dyDescent="0.2">
      <c r="U72" s="684"/>
      <c r="W72" s="684"/>
      <c r="X72" s="684"/>
      <c r="Y72" s="684"/>
      <c r="Z72" s="684"/>
    </row>
    <row r="73" spans="1:40" ht="18.75" customHeight="1" x14ac:dyDescent="0.2">
      <c r="B73" s="608"/>
      <c r="C73" s="685" t="s">
        <v>24</v>
      </c>
      <c r="D73" s="686" t="str">
        <f>AA2</f>
        <v>XXXXXX</v>
      </c>
    </row>
    <row r="74" spans="1:40" ht="18.75" customHeight="1" x14ac:dyDescent="0.2">
      <c r="B74" s="623"/>
      <c r="D74" s="687" t="str">
        <f>AA1</f>
        <v>P_CRSABIS_10</v>
      </c>
    </row>
    <row r="75" spans="1:40" ht="18.75" customHeight="1" x14ac:dyDescent="0.2">
      <c r="B75" s="623"/>
      <c r="D75" s="688" t="str">
        <f>AA3</f>
        <v>DD.MM.YYYY</v>
      </c>
    </row>
    <row r="76" spans="1:40" ht="18.75" customHeight="1" x14ac:dyDescent="0.2">
      <c r="B76" s="689"/>
      <c r="D76" s="690" t="s">
        <v>23</v>
      </c>
    </row>
    <row r="77" spans="1:40" ht="18.75" customHeight="1" x14ac:dyDescent="0.2">
      <c r="B77" s="623"/>
      <c r="D77" s="687" t="str">
        <f>D13</f>
        <v>col. 01</v>
      </c>
    </row>
    <row r="78" spans="1:40" ht="18.75" customHeight="1" x14ac:dyDescent="0.2">
      <c r="B78" s="691"/>
      <c r="C78" s="648"/>
      <c r="D78" s="589">
        <f>COUNTIF(D82:AA105,"ERROR")+COUNTIF(AE14:AL67,"ERROR")</f>
        <v>22</v>
      </c>
    </row>
    <row r="79" spans="1:40" ht="20.85" customHeight="1" x14ac:dyDescent="0.2">
      <c r="B79" s="441"/>
      <c r="C79" s="692"/>
      <c r="D79" s="590"/>
    </row>
    <row r="80" spans="1:40" x14ac:dyDescent="0.2">
      <c r="B80" s="441"/>
      <c r="C80" s="692"/>
      <c r="D80" s="591"/>
    </row>
    <row r="81" spans="2:29" x14ac:dyDescent="0.2">
      <c r="D81" s="575" t="s">
        <v>22</v>
      </c>
      <c r="E81" s="575" t="s">
        <v>21</v>
      </c>
      <c r="F81" s="575" t="s">
        <v>20</v>
      </c>
      <c r="G81" s="575" t="s">
        <v>19</v>
      </c>
      <c r="H81" s="575" t="s">
        <v>18</v>
      </c>
      <c r="I81" s="575" t="s">
        <v>17</v>
      </c>
      <c r="J81" s="575" t="s">
        <v>16</v>
      </c>
      <c r="K81" s="575" t="s">
        <v>15</v>
      </c>
      <c r="L81" s="575" t="s">
        <v>14</v>
      </c>
      <c r="M81" s="575" t="s">
        <v>13</v>
      </c>
      <c r="N81" s="575" t="s">
        <v>12</v>
      </c>
      <c r="O81" s="575" t="s">
        <v>11</v>
      </c>
      <c r="P81" s="575" t="s">
        <v>10</v>
      </c>
      <c r="Q81" s="575" t="s">
        <v>9</v>
      </c>
      <c r="R81" s="575" t="s">
        <v>8</v>
      </c>
      <c r="S81" s="575" t="s">
        <v>7</v>
      </c>
      <c r="T81" s="575" t="s">
        <v>6</v>
      </c>
      <c r="U81" s="575" t="s">
        <v>5</v>
      </c>
      <c r="V81" s="575" t="s">
        <v>1420</v>
      </c>
      <c r="W81" s="575" t="s">
        <v>1421</v>
      </c>
      <c r="X81" s="575" t="s">
        <v>1422</v>
      </c>
      <c r="Y81" s="575" t="s">
        <v>1423</v>
      </c>
      <c r="Z81" s="575" t="s">
        <v>1424</v>
      </c>
      <c r="AA81" s="575" t="s">
        <v>1425</v>
      </c>
      <c r="AC81" s="442"/>
    </row>
    <row r="82" spans="2:29" x14ac:dyDescent="0.2">
      <c r="B82" s="693" t="s">
        <v>1794</v>
      </c>
      <c r="C82" s="694"/>
      <c r="D82" s="577" t="str">
        <f>IF(ROUND(D19+D20+D21+D22+D23,0)=ROUND(D14,0),"OK","ERROR")</f>
        <v>ERROR</v>
      </c>
      <c r="E82" s="577" t="str">
        <f t="shared" ref="E82:AA82" si="60">IF(ROUND(E19+E20+E21+E22+E23,0)=ROUND(E14,0),"OK","ERROR")</f>
        <v>OK</v>
      </c>
      <c r="F82" s="577" t="str">
        <f t="shared" si="60"/>
        <v>ERROR</v>
      </c>
      <c r="G82" s="577" t="str">
        <f t="shared" si="60"/>
        <v>OK</v>
      </c>
      <c r="H82" s="577" t="str">
        <f t="shared" si="60"/>
        <v>OK</v>
      </c>
      <c r="I82" s="577" t="str">
        <f t="shared" si="60"/>
        <v>OK</v>
      </c>
      <c r="J82" s="577" t="str">
        <f t="shared" si="60"/>
        <v>OK</v>
      </c>
      <c r="K82" s="577" t="str">
        <f t="shared" si="60"/>
        <v>OK</v>
      </c>
      <c r="L82" s="577" t="str">
        <f t="shared" si="60"/>
        <v>OK</v>
      </c>
      <c r="M82" s="577" t="str">
        <f t="shared" si="60"/>
        <v>OK</v>
      </c>
      <c r="N82" s="577" t="str">
        <f t="shared" si="60"/>
        <v>OK</v>
      </c>
      <c r="O82" s="577" t="str">
        <f t="shared" si="60"/>
        <v>ERROR</v>
      </c>
      <c r="P82" s="577" t="str">
        <f t="shared" si="60"/>
        <v>OK</v>
      </c>
      <c r="Q82" s="577" t="str">
        <f t="shared" si="60"/>
        <v>OK</v>
      </c>
      <c r="R82" s="577" t="str">
        <f t="shared" si="60"/>
        <v>OK</v>
      </c>
      <c r="S82" s="577" t="str">
        <f t="shared" si="60"/>
        <v>OK</v>
      </c>
      <c r="T82" s="577" t="str">
        <f t="shared" si="60"/>
        <v>OK</v>
      </c>
      <c r="U82" s="577" t="str">
        <f t="shared" si="60"/>
        <v>ERROR</v>
      </c>
      <c r="V82" s="577" t="str">
        <f t="shared" si="60"/>
        <v>OK</v>
      </c>
      <c r="W82" s="577" t="str">
        <f t="shared" si="60"/>
        <v>ERROR</v>
      </c>
      <c r="X82" s="577" t="str">
        <f t="shared" si="60"/>
        <v>OK</v>
      </c>
      <c r="Y82" s="577" t="str">
        <f t="shared" si="60"/>
        <v>OK</v>
      </c>
      <c r="Z82" s="577" t="str">
        <f t="shared" si="60"/>
        <v>OK</v>
      </c>
      <c r="AA82" s="577" t="str">
        <f t="shared" si="60"/>
        <v>ERROR</v>
      </c>
      <c r="AC82" s="442"/>
    </row>
    <row r="83" spans="2:29" x14ac:dyDescent="0.2">
      <c r="B83" s="693" t="s">
        <v>1767</v>
      </c>
      <c r="C83" s="694"/>
      <c r="D83" s="577" t="str">
        <f>IF(ROUND(D15,0)&lt;=ROUND(D14,0),"OK","ERROR")</f>
        <v>OK</v>
      </c>
      <c r="E83" s="577" t="str">
        <f t="shared" ref="E83:AA83" si="61">IF(ROUND(E15,0)&lt;=ROUND(E14,0),"OK","ERROR")</f>
        <v>OK</v>
      </c>
      <c r="F83" s="577" t="str">
        <f t="shared" si="61"/>
        <v>OK</v>
      </c>
      <c r="G83" s="577" t="str">
        <f t="shared" si="61"/>
        <v>OK</v>
      </c>
      <c r="H83" s="577" t="str">
        <f t="shared" si="61"/>
        <v>OK</v>
      </c>
      <c r="I83" s="577" t="str">
        <f t="shared" si="61"/>
        <v>OK</v>
      </c>
      <c r="J83" s="577" t="str">
        <f t="shared" si="61"/>
        <v>OK</v>
      </c>
      <c r="K83" s="577" t="str">
        <f t="shared" si="61"/>
        <v>OK</v>
      </c>
      <c r="L83" s="577" t="str">
        <f t="shared" si="61"/>
        <v>OK</v>
      </c>
      <c r="M83" s="577" t="str">
        <f t="shared" si="61"/>
        <v>OK</v>
      </c>
      <c r="N83" s="577" t="str">
        <f t="shared" si="61"/>
        <v>OK</v>
      </c>
      <c r="O83" s="577" t="str">
        <f t="shared" si="61"/>
        <v>OK</v>
      </c>
      <c r="P83" s="577" t="str">
        <f t="shared" si="61"/>
        <v>OK</v>
      </c>
      <c r="Q83" s="577" t="str">
        <f t="shared" si="61"/>
        <v>OK</v>
      </c>
      <c r="R83" s="577" t="str">
        <f t="shared" si="61"/>
        <v>OK</v>
      </c>
      <c r="S83" s="577" t="str">
        <f t="shared" si="61"/>
        <v>OK</v>
      </c>
      <c r="T83" s="577" t="str">
        <f t="shared" si="61"/>
        <v>OK</v>
      </c>
      <c r="U83" s="577" t="str">
        <f t="shared" si="61"/>
        <v>OK</v>
      </c>
      <c r="V83" s="577" t="str">
        <f t="shared" si="61"/>
        <v>OK</v>
      </c>
      <c r="W83" s="577" t="str">
        <f t="shared" si="61"/>
        <v>OK</v>
      </c>
      <c r="X83" s="577" t="str">
        <f t="shared" si="61"/>
        <v>OK</v>
      </c>
      <c r="Y83" s="577" t="str">
        <f t="shared" si="61"/>
        <v>OK</v>
      </c>
      <c r="Z83" s="577" t="str">
        <f t="shared" si="61"/>
        <v>OK</v>
      </c>
      <c r="AA83" s="577" t="str">
        <f t="shared" si="61"/>
        <v>OK</v>
      </c>
      <c r="AC83" s="442"/>
    </row>
    <row r="84" spans="2:29" x14ac:dyDescent="0.2">
      <c r="B84" s="693" t="s">
        <v>1768</v>
      </c>
      <c r="C84" s="694"/>
      <c r="D84" s="577" t="str">
        <f>IF(ROUND(D16,0)&lt;=ROUND(D15,0),"OK","ERROR")</f>
        <v>OK</v>
      </c>
      <c r="E84" s="577" t="str">
        <f t="shared" ref="E84:AA84" si="62">IF(ROUND(E16,0)&lt;=ROUND(E15,0),"OK","ERROR")</f>
        <v>OK</v>
      </c>
      <c r="F84" s="577" t="str">
        <f t="shared" si="62"/>
        <v>OK</v>
      </c>
      <c r="G84" s="577" t="str">
        <f t="shared" si="62"/>
        <v>OK</v>
      </c>
      <c r="H84" s="577" t="str">
        <f t="shared" si="62"/>
        <v>OK</v>
      </c>
      <c r="I84" s="577" t="str">
        <f t="shared" si="62"/>
        <v>OK</v>
      </c>
      <c r="J84" s="577" t="str">
        <f t="shared" si="62"/>
        <v>OK</v>
      </c>
      <c r="K84" s="577" t="str">
        <f t="shared" si="62"/>
        <v>OK</v>
      </c>
      <c r="L84" s="577" t="str">
        <f t="shared" si="62"/>
        <v>OK</v>
      </c>
      <c r="M84" s="577" t="str">
        <f t="shared" si="62"/>
        <v>OK</v>
      </c>
      <c r="N84" s="577" t="str">
        <f t="shared" si="62"/>
        <v>OK</v>
      </c>
      <c r="O84" s="577" t="str">
        <f t="shared" si="62"/>
        <v>OK</v>
      </c>
      <c r="P84" s="577" t="str">
        <f t="shared" si="62"/>
        <v>OK</v>
      </c>
      <c r="Q84" s="577" t="str">
        <f t="shared" si="62"/>
        <v>OK</v>
      </c>
      <c r="R84" s="577" t="str">
        <f t="shared" si="62"/>
        <v>OK</v>
      </c>
      <c r="S84" s="577" t="str">
        <f t="shared" si="62"/>
        <v>OK</v>
      </c>
      <c r="T84" s="577" t="str">
        <f t="shared" si="62"/>
        <v>OK</v>
      </c>
      <c r="U84" s="577" t="str">
        <f t="shared" si="62"/>
        <v>OK</v>
      </c>
      <c r="V84" s="577" t="str">
        <f t="shared" si="62"/>
        <v>OK</v>
      </c>
      <c r="W84" s="577" t="str">
        <f t="shared" si="62"/>
        <v>OK</v>
      </c>
      <c r="X84" s="577" t="str">
        <f t="shared" si="62"/>
        <v>OK</v>
      </c>
      <c r="Y84" s="577" t="str">
        <f t="shared" si="62"/>
        <v>OK</v>
      </c>
      <c r="Z84" s="577" t="str">
        <f t="shared" si="62"/>
        <v>OK</v>
      </c>
      <c r="AA84" s="577" t="str">
        <f t="shared" si="62"/>
        <v>OK</v>
      </c>
      <c r="AC84" s="442"/>
    </row>
    <row r="85" spans="2:29" x14ac:dyDescent="0.2">
      <c r="B85" s="693" t="s">
        <v>1769</v>
      </c>
      <c r="C85" s="694"/>
      <c r="D85" s="577" t="str">
        <f>IF(ROUND(D17,0)&lt;=ROUND(D15,0),"OK","ERROR")</f>
        <v>OK</v>
      </c>
      <c r="E85" s="577" t="str">
        <f t="shared" ref="E85:AA85" si="63">IF(ROUND(E17,0)&lt;=ROUND(E15,0),"OK","ERROR")</f>
        <v>OK</v>
      </c>
      <c r="F85" s="577" t="str">
        <f t="shared" si="63"/>
        <v>OK</v>
      </c>
      <c r="G85" s="577" t="str">
        <f t="shared" si="63"/>
        <v>OK</v>
      </c>
      <c r="H85" s="577" t="str">
        <f t="shared" si="63"/>
        <v>OK</v>
      </c>
      <c r="I85" s="577" t="str">
        <f t="shared" si="63"/>
        <v>OK</v>
      </c>
      <c r="J85" s="577" t="str">
        <f t="shared" si="63"/>
        <v>OK</v>
      </c>
      <c r="K85" s="577" t="str">
        <f t="shared" si="63"/>
        <v>OK</v>
      </c>
      <c r="L85" s="577" t="str">
        <f t="shared" si="63"/>
        <v>OK</v>
      </c>
      <c r="M85" s="577" t="str">
        <f t="shared" si="63"/>
        <v>OK</v>
      </c>
      <c r="N85" s="577" t="str">
        <f t="shared" si="63"/>
        <v>OK</v>
      </c>
      <c r="O85" s="577" t="str">
        <f t="shared" si="63"/>
        <v>OK</v>
      </c>
      <c r="P85" s="577" t="str">
        <f t="shared" si="63"/>
        <v>OK</v>
      </c>
      <c r="Q85" s="577" t="str">
        <f t="shared" si="63"/>
        <v>OK</v>
      </c>
      <c r="R85" s="577" t="str">
        <f t="shared" si="63"/>
        <v>OK</v>
      </c>
      <c r="S85" s="577" t="str">
        <f t="shared" si="63"/>
        <v>OK</v>
      </c>
      <c r="T85" s="577" t="str">
        <f t="shared" si="63"/>
        <v>OK</v>
      </c>
      <c r="U85" s="577" t="str">
        <f t="shared" si="63"/>
        <v>OK</v>
      </c>
      <c r="V85" s="577" t="str">
        <f t="shared" si="63"/>
        <v>OK</v>
      </c>
      <c r="W85" s="577" t="str">
        <f t="shared" si="63"/>
        <v>OK</v>
      </c>
      <c r="X85" s="577" t="str">
        <f t="shared" si="63"/>
        <v>OK</v>
      </c>
      <c r="Y85" s="577" t="str">
        <f t="shared" si="63"/>
        <v>OK</v>
      </c>
      <c r="Z85" s="577" t="str">
        <f t="shared" si="63"/>
        <v>OK</v>
      </c>
      <c r="AA85" s="577" t="str">
        <f t="shared" si="63"/>
        <v>OK</v>
      </c>
      <c r="AC85" s="442"/>
    </row>
    <row r="86" spans="2:29" x14ac:dyDescent="0.2">
      <c r="B86" s="693" t="s">
        <v>1770</v>
      </c>
      <c r="C86" s="694"/>
      <c r="D86" s="577" t="str">
        <f>IF(ROUND(D26,0)&lt;=ROUND(D25,0),"OK","ERROR")</f>
        <v>OK</v>
      </c>
      <c r="E86" s="577" t="str">
        <f t="shared" ref="E86:AA86" si="64">IF(ROUND(E26,0)&lt;=ROUND(E25,0),"OK","ERROR")</f>
        <v>OK</v>
      </c>
      <c r="F86" s="577" t="str">
        <f t="shared" si="64"/>
        <v>OK</v>
      </c>
      <c r="G86" s="577" t="str">
        <f t="shared" si="64"/>
        <v>OK</v>
      </c>
      <c r="H86" s="577" t="str">
        <f t="shared" si="64"/>
        <v>OK</v>
      </c>
      <c r="I86" s="577" t="str">
        <f t="shared" si="64"/>
        <v>OK</v>
      </c>
      <c r="J86" s="577" t="str">
        <f t="shared" si="64"/>
        <v>OK</v>
      </c>
      <c r="K86" s="577" t="str">
        <f t="shared" si="64"/>
        <v>OK</v>
      </c>
      <c r="L86" s="577" t="str">
        <f t="shared" si="64"/>
        <v>OK</v>
      </c>
      <c r="M86" s="577" t="str">
        <f t="shared" si="64"/>
        <v>OK</v>
      </c>
      <c r="N86" s="577" t="str">
        <f t="shared" si="64"/>
        <v>OK</v>
      </c>
      <c r="O86" s="577" t="str">
        <f t="shared" si="64"/>
        <v>OK</v>
      </c>
      <c r="P86" s="577" t="str">
        <f t="shared" si="64"/>
        <v>OK</v>
      </c>
      <c r="Q86" s="577" t="str">
        <f t="shared" si="64"/>
        <v>OK</v>
      </c>
      <c r="R86" s="577" t="str">
        <f t="shared" si="64"/>
        <v>OK</v>
      </c>
      <c r="S86" s="577" t="str">
        <f t="shared" si="64"/>
        <v>OK</v>
      </c>
      <c r="T86" s="577" t="str">
        <f t="shared" si="64"/>
        <v>OK</v>
      </c>
      <c r="U86" s="577" t="str">
        <f t="shared" si="64"/>
        <v>OK</v>
      </c>
      <c r="V86" s="577" t="str">
        <f t="shared" si="64"/>
        <v>OK</v>
      </c>
      <c r="W86" s="577" t="str">
        <f t="shared" si="64"/>
        <v>OK</v>
      </c>
      <c r="X86" s="577" t="str">
        <f t="shared" si="64"/>
        <v>OK</v>
      </c>
      <c r="Y86" s="577" t="str">
        <f t="shared" si="64"/>
        <v>OK</v>
      </c>
      <c r="Z86" s="577" t="str">
        <f t="shared" si="64"/>
        <v>OK</v>
      </c>
      <c r="AA86" s="577" t="str">
        <f t="shared" si="64"/>
        <v>OK</v>
      </c>
      <c r="AC86" s="442"/>
    </row>
    <row r="87" spans="2:29" x14ac:dyDescent="0.2">
      <c r="B87" s="693" t="s">
        <v>1771</v>
      </c>
      <c r="C87" s="694"/>
      <c r="D87" s="577" t="str">
        <f>IF(ROUND(D27,0)&lt;=ROUND(D25,0),"OK","ERROR")</f>
        <v>OK</v>
      </c>
      <c r="E87" s="577" t="str">
        <f t="shared" ref="E87:AA87" si="65">IF(ROUND(E27,0)&lt;=ROUND(E25,0),"OK","ERROR")</f>
        <v>OK</v>
      </c>
      <c r="F87" s="577" t="str">
        <f t="shared" si="65"/>
        <v>OK</v>
      </c>
      <c r="G87" s="577" t="str">
        <f t="shared" si="65"/>
        <v>OK</v>
      </c>
      <c r="H87" s="577" t="str">
        <f t="shared" si="65"/>
        <v>OK</v>
      </c>
      <c r="I87" s="577" t="str">
        <f t="shared" si="65"/>
        <v>OK</v>
      </c>
      <c r="J87" s="577" t="str">
        <f t="shared" si="65"/>
        <v>OK</v>
      </c>
      <c r="K87" s="577" t="str">
        <f t="shared" si="65"/>
        <v>OK</v>
      </c>
      <c r="L87" s="577" t="str">
        <f t="shared" si="65"/>
        <v>OK</v>
      </c>
      <c r="M87" s="577" t="str">
        <f t="shared" si="65"/>
        <v>OK</v>
      </c>
      <c r="N87" s="577" t="str">
        <f t="shared" si="65"/>
        <v>OK</v>
      </c>
      <c r="O87" s="577" t="str">
        <f t="shared" si="65"/>
        <v>OK</v>
      </c>
      <c r="P87" s="577" t="str">
        <f t="shared" si="65"/>
        <v>OK</v>
      </c>
      <c r="Q87" s="577" t="str">
        <f t="shared" si="65"/>
        <v>OK</v>
      </c>
      <c r="R87" s="577" t="str">
        <f t="shared" si="65"/>
        <v>OK</v>
      </c>
      <c r="S87" s="577" t="str">
        <f t="shared" si="65"/>
        <v>OK</v>
      </c>
      <c r="T87" s="577" t="str">
        <f t="shared" si="65"/>
        <v>OK</v>
      </c>
      <c r="U87" s="577" t="str">
        <f t="shared" si="65"/>
        <v>OK</v>
      </c>
      <c r="V87" s="577" t="str">
        <f t="shared" si="65"/>
        <v>OK</v>
      </c>
      <c r="W87" s="577" t="str">
        <f t="shared" si="65"/>
        <v>OK</v>
      </c>
      <c r="X87" s="577" t="str">
        <f t="shared" si="65"/>
        <v>OK</v>
      </c>
      <c r="Y87" s="577" t="str">
        <f t="shared" si="65"/>
        <v>OK</v>
      </c>
      <c r="Z87" s="577" t="str">
        <f t="shared" si="65"/>
        <v>OK</v>
      </c>
      <c r="AA87" s="577" t="str">
        <f t="shared" si="65"/>
        <v>OK</v>
      </c>
      <c r="AC87" s="442"/>
    </row>
    <row r="88" spans="2:29" x14ac:dyDescent="0.2">
      <c r="B88" s="693" t="s">
        <v>1772</v>
      </c>
      <c r="C88" s="694"/>
      <c r="D88" s="577" t="str">
        <f>IF(ROUND(D29,0)&lt;=ROUND(D28,0),"OK","ERROR")</f>
        <v>OK</v>
      </c>
      <c r="E88" s="577" t="str">
        <f t="shared" ref="E88:AA88" si="66">IF(ROUND(E29,0)&lt;=ROUND(E28,0),"OK","ERROR")</f>
        <v>OK</v>
      </c>
      <c r="F88" s="577" t="str">
        <f t="shared" si="66"/>
        <v>OK</v>
      </c>
      <c r="G88" s="577" t="str">
        <f t="shared" si="66"/>
        <v>OK</v>
      </c>
      <c r="H88" s="577" t="str">
        <f t="shared" si="66"/>
        <v>OK</v>
      </c>
      <c r="I88" s="577" t="str">
        <f t="shared" si="66"/>
        <v>OK</v>
      </c>
      <c r="J88" s="577" t="str">
        <f t="shared" si="66"/>
        <v>OK</v>
      </c>
      <c r="K88" s="577" t="str">
        <f t="shared" si="66"/>
        <v>OK</v>
      </c>
      <c r="L88" s="577" t="str">
        <f t="shared" si="66"/>
        <v>OK</v>
      </c>
      <c r="M88" s="577" t="str">
        <f t="shared" si="66"/>
        <v>OK</v>
      </c>
      <c r="N88" s="577" t="str">
        <f t="shared" si="66"/>
        <v>OK</v>
      </c>
      <c r="O88" s="577" t="str">
        <f t="shared" si="66"/>
        <v>OK</v>
      </c>
      <c r="P88" s="577" t="str">
        <f t="shared" si="66"/>
        <v>OK</v>
      </c>
      <c r="Q88" s="577" t="str">
        <f t="shared" si="66"/>
        <v>OK</v>
      </c>
      <c r="R88" s="577" t="str">
        <f t="shared" si="66"/>
        <v>OK</v>
      </c>
      <c r="S88" s="577" t="str">
        <f t="shared" si="66"/>
        <v>OK</v>
      </c>
      <c r="T88" s="577" t="str">
        <f t="shared" si="66"/>
        <v>OK</v>
      </c>
      <c r="U88" s="577" t="str">
        <f t="shared" si="66"/>
        <v>OK</v>
      </c>
      <c r="V88" s="577" t="str">
        <f t="shared" si="66"/>
        <v>OK</v>
      </c>
      <c r="W88" s="577" t="str">
        <f t="shared" si="66"/>
        <v>OK</v>
      </c>
      <c r="X88" s="577" t="str">
        <f t="shared" si="66"/>
        <v>OK</v>
      </c>
      <c r="Y88" s="577" t="str">
        <f t="shared" si="66"/>
        <v>OK</v>
      </c>
      <c r="Z88" s="577" t="str">
        <f t="shared" si="66"/>
        <v>OK</v>
      </c>
      <c r="AA88" s="577" t="str">
        <f t="shared" si="66"/>
        <v>OK</v>
      </c>
      <c r="AC88" s="442"/>
    </row>
    <row r="89" spans="2:29" x14ac:dyDescent="0.2">
      <c r="B89" s="693" t="s">
        <v>1773</v>
      </c>
      <c r="C89" s="694"/>
      <c r="D89" s="577" t="str">
        <f>IF(ROUND(D30,0)&lt;=ROUND(D28,0),"OK","ERROR")</f>
        <v>OK</v>
      </c>
      <c r="E89" s="577" t="str">
        <f t="shared" ref="E89:AA89" si="67">IF(ROUND(E30,0)&lt;=ROUND(E28,0),"OK","ERROR")</f>
        <v>OK</v>
      </c>
      <c r="F89" s="577" t="str">
        <f t="shared" si="67"/>
        <v>OK</v>
      </c>
      <c r="G89" s="577" t="str">
        <f t="shared" si="67"/>
        <v>OK</v>
      </c>
      <c r="H89" s="577" t="str">
        <f t="shared" si="67"/>
        <v>OK</v>
      </c>
      <c r="I89" s="577" t="str">
        <f t="shared" si="67"/>
        <v>OK</v>
      </c>
      <c r="J89" s="577" t="str">
        <f t="shared" si="67"/>
        <v>OK</v>
      </c>
      <c r="K89" s="577" t="str">
        <f t="shared" si="67"/>
        <v>OK</v>
      </c>
      <c r="L89" s="577" t="str">
        <f t="shared" si="67"/>
        <v>OK</v>
      </c>
      <c r="M89" s="577" t="str">
        <f t="shared" si="67"/>
        <v>OK</v>
      </c>
      <c r="N89" s="577" t="str">
        <f t="shared" si="67"/>
        <v>OK</v>
      </c>
      <c r="O89" s="577" t="str">
        <f t="shared" si="67"/>
        <v>OK</v>
      </c>
      <c r="P89" s="577" t="str">
        <f t="shared" si="67"/>
        <v>OK</v>
      </c>
      <c r="Q89" s="577" t="str">
        <f t="shared" si="67"/>
        <v>OK</v>
      </c>
      <c r="R89" s="577" t="str">
        <f t="shared" si="67"/>
        <v>OK</v>
      </c>
      <c r="S89" s="577" t="str">
        <f t="shared" si="67"/>
        <v>OK</v>
      </c>
      <c r="T89" s="577" t="str">
        <f t="shared" si="67"/>
        <v>OK</v>
      </c>
      <c r="U89" s="577" t="str">
        <f t="shared" si="67"/>
        <v>OK</v>
      </c>
      <c r="V89" s="577" t="str">
        <f t="shared" si="67"/>
        <v>OK</v>
      </c>
      <c r="W89" s="577" t="str">
        <f t="shared" si="67"/>
        <v>OK</v>
      </c>
      <c r="X89" s="577" t="str">
        <f t="shared" si="67"/>
        <v>OK</v>
      </c>
      <c r="Y89" s="577" t="str">
        <f t="shared" si="67"/>
        <v>OK</v>
      </c>
      <c r="Z89" s="577" t="str">
        <f t="shared" si="67"/>
        <v>OK</v>
      </c>
      <c r="AA89" s="577" t="str">
        <f t="shared" si="67"/>
        <v>OK</v>
      </c>
      <c r="AC89" s="442"/>
    </row>
    <row r="90" spans="2:29" x14ac:dyDescent="0.2">
      <c r="B90" s="693" t="s">
        <v>1774</v>
      </c>
      <c r="C90" s="694"/>
      <c r="D90" s="577" t="str">
        <f>IF(ROUND(D32,0)&lt;=ROUND(D31,0),"OK","ERROR")</f>
        <v>OK</v>
      </c>
      <c r="E90" s="577" t="str">
        <f t="shared" ref="E90:AA90" si="68">IF(ROUND(E32,0)&lt;=ROUND(E31,0),"OK","ERROR")</f>
        <v>OK</v>
      </c>
      <c r="F90" s="577" t="str">
        <f t="shared" si="68"/>
        <v>OK</v>
      </c>
      <c r="G90" s="577" t="str">
        <f t="shared" si="68"/>
        <v>OK</v>
      </c>
      <c r="H90" s="577" t="str">
        <f t="shared" si="68"/>
        <v>OK</v>
      </c>
      <c r="I90" s="577" t="str">
        <f t="shared" si="68"/>
        <v>OK</v>
      </c>
      <c r="J90" s="577" t="str">
        <f t="shared" si="68"/>
        <v>OK</v>
      </c>
      <c r="K90" s="577" t="str">
        <f t="shared" si="68"/>
        <v>OK</v>
      </c>
      <c r="L90" s="577" t="str">
        <f t="shared" si="68"/>
        <v>OK</v>
      </c>
      <c r="M90" s="577" t="str">
        <f t="shared" si="68"/>
        <v>OK</v>
      </c>
      <c r="N90" s="577" t="str">
        <f t="shared" si="68"/>
        <v>OK</v>
      </c>
      <c r="O90" s="577" t="str">
        <f t="shared" si="68"/>
        <v>OK</v>
      </c>
      <c r="P90" s="577" t="str">
        <f t="shared" si="68"/>
        <v>OK</v>
      </c>
      <c r="Q90" s="577" t="str">
        <f t="shared" si="68"/>
        <v>OK</v>
      </c>
      <c r="R90" s="577" t="str">
        <f t="shared" si="68"/>
        <v>OK</v>
      </c>
      <c r="S90" s="577" t="str">
        <f t="shared" si="68"/>
        <v>OK</v>
      </c>
      <c r="T90" s="577" t="str">
        <f t="shared" si="68"/>
        <v>OK</v>
      </c>
      <c r="U90" s="577" t="str">
        <f t="shared" si="68"/>
        <v>OK</v>
      </c>
      <c r="V90" s="577" t="str">
        <f t="shared" si="68"/>
        <v>OK</v>
      </c>
      <c r="W90" s="577" t="str">
        <f t="shared" si="68"/>
        <v>OK</v>
      </c>
      <c r="X90" s="577" t="str">
        <f t="shared" si="68"/>
        <v>OK</v>
      </c>
      <c r="Y90" s="577" t="str">
        <f t="shared" si="68"/>
        <v>OK</v>
      </c>
      <c r="Z90" s="577" t="str">
        <f t="shared" si="68"/>
        <v>OK</v>
      </c>
      <c r="AA90" s="577" t="str">
        <f t="shared" si="68"/>
        <v>OK</v>
      </c>
      <c r="AC90" s="442"/>
    </row>
    <row r="91" spans="2:29" x14ac:dyDescent="0.2">
      <c r="B91" s="693" t="s">
        <v>1775</v>
      </c>
      <c r="C91" s="694"/>
      <c r="D91" s="577" t="str">
        <f>IF(ROUND(D33,0)&lt;=ROUND(D31,0),"OK","ERROR")</f>
        <v>OK</v>
      </c>
      <c r="E91" s="577" t="str">
        <f t="shared" ref="E91:AA91" si="69">IF(ROUND(E33,0)&lt;=ROUND(E31,0),"OK","ERROR")</f>
        <v>OK</v>
      </c>
      <c r="F91" s="577" t="str">
        <f t="shared" si="69"/>
        <v>OK</v>
      </c>
      <c r="G91" s="577" t="str">
        <f t="shared" si="69"/>
        <v>OK</v>
      </c>
      <c r="H91" s="577" t="str">
        <f t="shared" si="69"/>
        <v>OK</v>
      </c>
      <c r="I91" s="577" t="str">
        <f t="shared" si="69"/>
        <v>OK</v>
      </c>
      <c r="J91" s="577" t="str">
        <f t="shared" si="69"/>
        <v>OK</v>
      </c>
      <c r="K91" s="577" t="str">
        <f t="shared" si="69"/>
        <v>OK</v>
      </c>
      <c r="L91" s="577" t="str">
        <f t="shared" si="69"/>
        <v>OK</v>
      </c>
      <c r="M91" s="577" t="str">
        <f t="shared" si="69"/>
        <v>OK</v>
      </c>
      <c r="N91" s="577" t="str">
        <f t="shared" si="69"/>
        <v>OK</v>
      </c>
      <c r="O91" s="577" t="str">
        <f t="shared" si="69"/>
        <v>OK</v>
      </c>
      <c r="P91" s="577" t="str">
        <f t="shared" si="69"/>
        <v>OK</v>
      </c>
      <c r="Q91" s="577" t="str">
        <f t="shared" si="69"/>
        <v>OK</v>
      </c>
      <c r="R91" s="577" t="str">
        <f t="shared" si="69"/>
        <v>OK</v>
      </c>
      <c r="S91" s="577" t="str">
        <f t="shared" si="69"/>
        <v>OK</v>
      </c>
      <c r="T91" s="577" t="str">
        <f t="shared" si="69"/>
        <v>OK</v>
      </c>
      <c r="U91" s="577" t="str">
        <f t="shared" si="69"/>
        <v>OK</v>
      </c>
      <c r="V91" s="577" t="str">
        <f t="shared" si="69"/>
        <v>OK</v>
      </c>
      <c r="W91" s="577" t="str">
        <f t="shared" si="69"/>
        <v>OK</v>
      </c>
      <c r="X91" s="577" t="str">
        <f t="shared" si="69"/>
        <v>OK</v>
      </c>
      <c r="Y91" s="577" t="str">
        <f t="shared" si="69"/>
        <v>OK</v>
      </c>
      <c r="Z91" s="577" t="str">
        <f t="shared" si="69"/>
        <v>OK</v>
      </c>
      <c r="AA91" s="577" t="str">
        <f t="shared" si="69"/>
        <v>OK</v>
      </c>
      <c r="AC91" s="442"/>
    </row>
    <row r="92" spans="2:29" x14ac:dyDescent="0.2">
      <c r="B92" s="693" t="s">
        <v>1776</v>
      </c>
      <c r="C92" s="694"/>
      <c r="D92" s="577" t="str">
        <f>IF(ROUND(D35,0)&lt;=ROUND(D34,0),"OK","ERROR")</f>
        <v>OK</v>
      </c>
      <c r="E92" s="577" t="str">
        <f t="shared" ref="E92:AA92" si="70">IF(ROUND(E35,0)&lt;=ROUND(E34,0),"OK","ERROR")</f>
        <v>OK</v>
      </c>
      <c r="F92" s="577" t="str">
        <f t="shared" si="70"/>
        <v>OK</v>
      </c>
      <c r="G92" s="577" t="str">
        <f t="shared" si="70"/>
        <v>OK</v>
      </c>
      <c r="H92" s="577" t="str">
        <f t="shared" si="70"/>
        <v>OK</v>
      </c>
      <c r="I92" s="577" t="str">
        <f t="shared" si="70"/>
        <v>OK</v>
      </c>
      <c r="J92" s="577" t="str">
        <f t="shared" si="70"/>
        <v>OK</v>
      </c>
      <c r="K92" s="577" t="str">
        <f t="shared" si="70"/>
        <v>OK</v>
      </c>
      <c r="L92" s="577" t="str">
        <f t="shared" si="70"/>
        <v>OK</v>
      </c>
      <c r="M92" s="577" t="str">
        <f t="shared" si="70"/>
        <v>OK</v>
      </c>
      <c r="N92" s="577" t="str">
        <f t="shared" si="70"/>
        <v>OK</v>
      </c>
      <c r="O92" s="577" t="str">
        <f t="shared" si="70"/>
        <v>OK</v>
      </c>
      <c r="P92" s="577" t="str">
        <f t="shared" si="70"/>
        <v>OK</v>
      </c>
      <c r="Q92" s="577" t="str">
        <f t="shared" si="70"/>
        <v>OK</v>
      </c>
      <c r="R92" s="577" t="str">
        <f t="shared" si="70"/>
        <v>OK</v>
      </c>
      <c r="S92" s="577" t="str">
        <f t="shared" si="70"/>
        <v>OK</v>
      </c>
      <c r="T92" s="577" t="str">
        <f t="shared" si="70"/>
        <v>OK</v>
      </c>
      <c r="U92" s="577" t="str">
        <f t="shared" si="70"/>
        <v>OK</v>
      </c>
      <c r="V92" s="577" t="str">
        <f t="shared" si="70"/>
        <v>OK</v>
      </c>
      <c r="W92" s="577" t="str">
        <f t="shared" si="70"/>
        <v>OK</v>
      </c>
      <c r="X92" s="577" t="str">
        <f t="shared" si="70"/>
        <v>OK</v>
      </c>
      <c r="Y92" s="577" t="str">
        <f t="shared" si="70"/>
        <v>OK</v>
      </c>
      <c r="Z92" s="577" t="str">
        <f t="shared" si="70"/>
        <v>OK</v>
      </c>
      <c r="AA92" s="577" t="str">
        <f t="shared" si="70"/>
        <v>OK</v>
      </c>
      <c r="AC92" s="442"/>
    </row>
    <row r="93" spans="2:29" x14ac:dyDescent="0.2">
      <c r="B93" s="693" t="s">
        <v>1777</v>
      </c>
      <c r="C93" s="694"/>
      <c r="D93" s="577" t="str">
        <f>IF(ROUND(D36,0)&lt;=ROUND(D34,0),"OK","ERROR")</f>
        <v>OK</v>
      </c>
      <c r="E93" s="577" t="str">
        <f t="shared" ref="E93:AA93" si="71">IF(ROUND(E36,0)&lt;=ROUND(E34,0),"OK","ERROR")</f>
        <v>OK</v>
      </c>
      <c r="F93" s="577" t="str">
        <f t="shared" si="71"/>
        <v>OK</v>
      </c>
      <c r="G93" s="577" t="str">
        <f t="shared" si="71"/>
        <v>OK</v>
      </c>
      <c r="H93" s="577" t="str">
        <f t="shared" si="71"/>
        <v>OK</v>
      </c>
      <c r="I93" s="577" t="str">
        <f t="shared" si="71"/>
        <v>OK</v>
      </c>
      <c r="J93" s="577" t="str">
        <f t="shared" si="71"/>
        <v>OK</v>
      </c>
      <c r="K93" s="577" t="str">
        <f t="shared" si="71"/>
        <v>OK</v>
      </c>
      <c r="L93" s="577" t="str">
        <f t="shared" si="71"/>
        <v>OK</v>
      </c>
      <c r="M93" s="577" t="str">
        <f t="shared" si="71"/>
        <v>OK</v>
      </c>
      <c r="N93" s="577" t="str">
        <f t="shared" si="71"/>
        <v>OK</v>
      </c>
      <c r="O93" s="577" t="str">
        <f t="shared" si="71"/>
        <v>OK</v>
      </c>
      <c r="P93" s="577" t="str">
        <f t="shared" si="71"/>
        <v>OK</v>
      </c>
      <c r="Q93" s="577" t="str">
        <f t="shared" si="71"/>
        <v>OK</v>
      </c>
      <c r="R93" s="577" t="str">
        <f t="shared" si="71"/>
        <v>OK</v>
      </c>
      <c r="S93" s="577" t="str">
        <f t="shared" si="71"/>
        <v>OK</v>
      </c>
      <c r="T93" s="577" t="str">
        <f t="shared" si="71"/>
        <v>OK</v>
      </c>
      <c r="U93" s="577" t="str">
        <f t="shared" si="71"/>
        <v>OK</v>
      </c>
      <c r="V93" s="577" t="str">
        <f t="shared" si="71"/>
        <v>OK</v>
      </c>
      <c r="W93" s="577" t="str">
        <f t="shared" si="71"/>
        <v>OK</v>
      </c>
      <c r="X93" s="577" t="str">
        <f t="shared" si="71"/>
        <v>OK</v>
      </c>
      <c r="Y93" s="577" t="str">
        <f t="shared" si="71"/>
        <v>OK</v>
      </c>
      <c r="Z93" s="577" t="str">
        <f t="shared" si="71"/>
        <v>OK</v>
      </c>
      <c r="AA93" s="577" t="str">
        <f t="shared" si="71"/>
        <v>OK</v>
      </c>
      <c r="AC93" s="442"/>
    </row>
    <row r="94" spans="2:29" x14ac:dyDescent="0.2">
      <c r="B94" s="693" t="s">
        <v>1778</v>
      </c>
      <c r="C94" s="694"/>
      <c r="D94" s="577" t="str">
        <f>IF(ROUND(D38,0)&lt;=ROUND(D37,0),"OK","ERROR")</f>
        <v>ERROR</v>
      </c>
      <c r="E94" s="577" t="str">
        <f t="shared" ref="E94:AA94" si="72">IF(ROUND(E38,0)&lt;=ROUND(E37,0),"OK","ERROR")</f>
        <v>OK</v>
      </c>
      <c r="F94" s="577" t="str">
        <f t="shared" si="72"/>
        <v>ERROR</v>
      </c>
      <c r="G94" s="577" t="str">
        <f t="shared" si="72"/>
        <v>OK</v>
      </c>
      <c r="H94" s="577" t="str">
        <f t="shared" si="72"/>
        <v>OK</v>
      </c>
      <c r="I94" s="577" t="str">
        <f t="shared" si="72"/>
        <v>OK</v>
      </c>
      <c r="J94" s="577" t="str">
        <f t="shared" si="72"/>
        <v>OK</v>
      </c>
      <c r="K94" s="577" t="str">
        <f t="shared" si="72"/>
        <v>OK</v>
      </c>
      <c r="L94" s="577" t="str">
        <f t="shared" si="72"/>
        <v>OK</v>
      </c>
      <c r="M94" s="577" t="str">
        <f t="shared" si="72"/>
        <v>OK</v>
      </c>
      <c r="N94" s="577" t="str">
        <f t="shared" si="72"/>
        <v>OK</v>
      </c>
      <c r="O94" s="577" t="str">
        <f t="shared" si="72"/>
        <v>ERROR</v>
      </c>
      <c r="P94" s="577" t="str">
        <f t="shared" si="72"/>
        <v>OK</v>
      </c>
      <c r="Q94" s="577" t="str">
        <f t="shared" si="72"/>
        <v>OK</v>
      </c>
      <c r="R94" s="577" t="str">
        <f t="shared" si="72"/>
        <v>OK</v>
      </c>
      <c r="S94" s="577" t="str">
        <f t="shared" si="72"/>
        <v>OK</v>
      </c>
      <c r="T94" s="577" t="str">
        <f t="shared" si="72"/>
        <v>OK</v>
      </c>
      <c r="U94" s="577" t="str">
        <f t="shared" si="72"/>
        <v>ERROR</v>
      </c>
      <c r="V94" s="577" t="str">
        <f t="shared" si="72"/>
        <v>OK</v>
      </c>
      <c r="W94" s="577" t="str">
        <f t="shared" si="72"/>
        <v>ERROR</v>
      </c>
      <c r="X94" s="577" t="str">
        <f t="shared" si="72"/>
        <v>OK</v>
      </c>
      <c r="Y94" s="577" t="str">
        <f t="shared" si="72"/>
        <v>OK</v>
      </c>
      <c r="Z94" s="577" t="str">
        <f t="shared" si="72"/>
        <v>OK</v>
      </c>
      <c r="AA94" s="577" t="str">
        <f t="shared" si="72"/>
        <v>OK</v>
      </c>
      <c r="AC94" s="442"/>
    </row>
    <row r="95" spans="2:29" x14ac:dyDescent="0.2">
      <c r="B95" s="693" t="s">
        <v>1779</v>
      </c>
      <c r="C95" s="694"/>
      <c r="D95" s="577" t="str">
        <f>IF(ROUND(D39,0)&lt;=ROUND(D37,0),"OK","ERROR")</f>
        <v>OK</v>
      </c>
      <c r="E95" s="577" t="str">
        <f t="shared" ref="E95:AA95" si="73">IF(ROUND(E39,0)&lt;=ROUND(E37,0),"OK","ERROR")</f>
        <v>OK</v>
      </c>
      <c r="F95" s="577" t="str">
        <f t="shared" si="73"/>
        <v>OK</v>
      </c>
      <c r="G95" s="577" t="str">
        <f t="shared" si="73"/>
        <v>OK</v>
      </c>
      <c r="H95" s="577" t="str">
        <f t="shared" si="73"/>
        <v>OK</v>
      </c>
      <c r="I95" s="577" t="str">
        <f t="shared" si="73"/>
        <v>OK</v>
      </c>
      <c r="J95" s="577" t="str">
        <f t="shared" si="73"/>
        <v>OK</v>
      </c>
      <c r="K95" s="577" t="str">
        <f t="shared" si="73"/>
        <v>OK</v>
      </c>
      <c r="L95" s="577" t="str">
        <f t="shared" si="73"/>
        <v>OK</v>
      </c>
      <c r="M95" s="577" t="str">
        <f t="shared" si="73"/>
        <v>OK</v>
      </c>
      <c r="N95" s="577" t="str">
        <f t="shared" si="73"/>
        <v>OK</v>
      </c>
      <c r="O95" s="577" t="str">
        <f t="shared" si="73"/>
        <v>OK</v>
      </c>
      <c r="P95" s="577" t="str">
        <f t="shared" si="73"/>
        <v>OK</v>
      </c>
      <c r="Q95" s="577" t="str">
        <f t="shared" si="73"/>
        <v>OK</v>
      </c>
      <c r="R95" s="577" t="str">
        <f t="shared" si="73"/>
        <v>OK</v>
      </c>
      <c r="S95" s="577" t="str">
        <f t="shared" si="73"/>
        <v>OK</v>
      </c>
      <c r="T95" s="577" t="str">
        <f t="shared" si="73"/>
        <v>OK</v>
      </c>
      <c r="U95" s="577" t="str">
        <f t="shared" si="73"/>
        <v>OK</v>
      </c>
      <c r="V95" s="577" t="str">
        <f t="shared" si="73"/>
        <v>OK</v>
      </c>
      <c r="W95" s="577" t="str">
        <f t="shared" si="73"/>
        <v>OK</v>
      </c>
      <c r="X95" s="577" t="str">
        <f t="shared" si="73"/>
        <v>OK</v>
      </c>
      <c r="Y95" s="577" t="str">
        <f t="shared" si="73"/>
        <v>OK</v>
      </c>
      <c r="Z95" s="577" t="str">
        <f t="shared" si="73"/>
        <v>OK</v>
      </c>
      <c r="AA95" s="577" t="str">
        <f t="shared" si="73"/>
        <v>OK</v>
      </c>
      <c r="AC95" s="442"/>
    </row>
    <row r="96" spans="2:29" x14ac:dyDescent="0.2">
      <c r="B96" s="693" t="s">
        <v>1780</v>
      </c>
      <c r="C96" s="694"/>
      <c r="D96" s="577" t="str">
        <f>IF(ROUND(D41,0)&lt;=ROUND(D40,0),"OK","ERROR")</f>
        <v>OK</v>
      </c>
      <c r="E96" s="577" t="str">
        <f t="shared" ref="E96:AA96" si="74">IF(ROUND(E41,0)&lt;=ROUND(E40,0),"OK","ERROR")</f>
        <v>OK</v>
      </c>
      <c r="F96" s="577" t="str">
        <f t="shared" si="74"/>
        <v>OK</v>
      </c>
      <c r="G96" s="577" t="str">
        <f t="shared" si="74"/>
        <v>OK</v>
      </c>
      <c r="H96" s="577" t="str">
        <f t="shared" si="74"/>
        <v>OK</v>
      </c>
      <c r="I96" s="577" t="str">
        <f t="shared" si="74"/>
        <v>OK</v>
      </c>
      <c r="J96" s="577" t="str">
        <f t="shared" si="74"/>
        <v>OK</v>
      </c>
      <c r="K96" s="577" t="str">
        <f t="shared" si="74"/>
        <v>OK</v>
      </c>
      <c r="L96" s="577" t="str">
        <f t="shared" si="74"/>
        <v>OK</v>
      </c>
      <c r="M96" s="577" t="str">
        <f t="shared" si="74"/>
        <v>OK</v>
      </c>
      <c r="N96" s="577" t="str">
        <f t="shared" si="74"/>
        <v>OK</v>
      </c>
      <c r="O96" s="577" t="str">
        <f t="shared" si="74"/>
        <v>OK</v>
      </c>
      <c r="P96" s="577" t="str">
        <f t="shared" si="74"/>
        <v>OK</v>
      </c>
      <c r="Q96" s="577" t="str">
        <f t="shared" si="74"/>
        <v>OK</v>
      </c>
      <c r="R96" s="577" t="str">
        <f t="shared" si="74"/>
        <v>OK</v>
      </c>
      <c r="S96" s="577" t="str">
        <f t="shared" si="74"/>
        <v>OK</v>
      </c>
      <c r="T96" s="577" t="str">
        <f t="shared" si="74"/>
        <v>OK</v>
      </c>
      <c r="U96" s="577" t="str">
        <f t="shared" si="74"/>
        <v>OK</v>
      </c>
      <c r="V96" s="577" t="str">
        <f t="shared" si="74"/>
        <v>OK</v>
      </c>
      <c r="W96" s="577" t="str">
        <f t="shared" si="74"/>
        <v>OK</v>
      </c>
      <c r="X96" s="577" t="str">
        <f t="shared" si="74"/>
        <v>OK</v>
      </c>
      <c r="Y96" s="577" t="str">
        <f t="shared" si="74"/>
        <v>OK</v>
      </c>
      <c r="Z96" s="577" t="str">
        <f t="shared" si="74"/>
        <v>OK</v>
      </c>
      <c r="AA96" s="577" t="str">
        <f t="shared" si="74"/>
        <v>OK</v>
      </c>
      <c r="AC96" s="442"/>
    </row>
    <row r="97" spans="2:29" x14ac:dyDescent="0.2">
      <c r="B97" s="693" t="s">
        <v>1781</v>
      </c>
      <c r="C97" s="694"/>
      <c r="D97" s="577" t="str">
        <f>IF(ROUND(D42,0)&lt;=ROUND(D40,0),"OK","ERROR")</f>
        <v>OK</v>
      </c>
      <c r="E97" s="577" t="str">
        <f t="shared" ref="E97:AA97" si="75">IF(ROUND(E42,0)&lt;=ROUND(E40,0),"OK","ERROR")</f>
        <v>OK</v>
      </c>
      <c r="F97" s="577" t="str">
        <f t="shared" si="75"/>
        <v>OK</v>
      </c>
      <c r="G97" s="577" t="str">
        <f t="shared" si="75"/>
        <v>OK</v>
      </c>
      <c r="H97" s="577" t="str">
        <f t="shared" si="75"/>
        <v>OK</v>
      </c>
      <c r="I97" s="577" t="str">
        <f t="shared" si="75"/>
        <v>OK</v>
      </c>
      <c r="J97" s="577" t="str">
        <f t="shared" si="75"/>
        <v>OK</v>
      </c>
      <c r="K97" s="577" t="str">
        <f t="shared" si="75"/>
        <v>OK</v>
      </c>
      <c r="L97" s="577" t="str">
        <f t="shared" si="75"/>
        <v>OK</v>
      </c>
      <c r="M97" s="577" t="str">
        <f t="shared" si="75"/>
        <v>OK</v>
      </c>
      <c r="N97" s="577" t="str">
        <f t="shared" si="75"/>
        <v>OK</v>
      </c>
      <c r="O97" s="577" t="str">
        <f t="shared" si="75"/>
        <v>OK</v>
      </c>
      <c r="P97" s="577" t="str">
        <f t="shared" si="75"/>
        <v>OK</v>
      </c>
      <c r="Q97" s="577" t="str">
        <f t="shared" si="75"/>
        <v>OK</v>
      </c>
      <c r="R97" s="577" t="str">
        <f t="shared" si="75"/>
        <v>OK</v>
      </c>
      <c r="S97" s="577" t="str">
        <f t="shared" si="75"/>
        <v>OK</v>
      </c>
      <c r="T97" s="577" t="str">
        <f t="shared" si="75"/>
        <v>OK</v>
      </c>
      <c r="U97" s="577" t="str">
        <f t="shared" si="75"/>
        <v>OK</v>
      </c>
      <c r="V97" s="577" t="str">
        <f t="shared" si="75"/>
        <v>OK</v>
      </c>
      <c r="W97" s="577" t="str">
        <f t="shared" si="75"/>
        <v>OK</v>
      </c>
      <c r="X97" s="577" t="str">
        <f t="shared" si="75"/>
        <v>OK</v>
      </c>
      <c r="Y97" s="577" t="str">
        <f t="shared" si="75"/>
        <v>OK</v>
      </c>
      <c r="Z97" s="577" t="str">
        <f t="shared" si="75"/>
        <v>OK</v>
      </c>
      <c r="AA97" s="577" t="str">
        <f t="shared" si="75"/>
        <v>OK</v>
      </c>
      <c r="AC97" s="442"/>
    </row>
    <row r="98" spans="2:29" x14ac:dyDescent="0.2">
      <c r="B98" s="693" t="s">
        <v>1782</v>
      </c>
      <c r="C98" s="694"/>
      <c r="D98" s="577" t="str">
        <f>IF(ROUND(D44,0)&lt;=ROUND(D43,0),"OK","ERROR")</f>
        <v>ERROR</v>
      </c>
      <c r="E98" s="577" t="str">
        <f t="shared" ref="E98:AA98" si="76">IF(ROUND(E44,0)&lt;=ROUND(E43,0),"OK","ERROR")</f>
        <v>OK</v>
      </c>
      <c r="F98" s="577" t="str">
        <f t="shared" si="76"/>
        <v>ERROR</v>
      </c>
      <c r="G98" s="577" t="str">
        <f t="shared" si="76"/>
        <v>OK</v>
      </c>
      <c r="H98" s="577" t="str">
        <f t="shared" si="76"/>
        <v>ERROR</v>
      </c>
      <c r="I98" s="577" t="str">
        <f t="shared" si="76"/>
        <v>OK</v>
      </c>
      <c r="J98" s="577" t="str">
        <f t="shared" si="76"/>
        <v>OK</v>
      </c>
      <c r="K98" s="577" t="str">
        <f t="shared" si="76"/>
        <v>OK</v>
      </c>
      <c r="L98" s="577" t="str">
        <f t="shared" si="76"/>
        <v>OK</v>
      </c>
      <c r="M98" s="577" t="str">
        <f t="shared" si="76"/>
        <v>OK</v>
      </c>
      <c r="N98" s="577" t="str">
        <f t="shared" si="76"/>
        <v>OK</v>
      </c>
      <c r="O98" s="577" t="str">
        <f t="shared" si="76"/>
        <v>ERROR</v>
      </c>
      <c r="P98" s="577" t="str">
        <f t="shared" si="76"/>
        <v>OK</v>
      </c>
      <c r="Q98" s="577" t="str">
        <f t="shared" si="76"/>
        <v>OK</v>
      </c>
      <c r="R98" s="577" t="str">
        <f t="shared" si="76"/>
        <v>OK</v>
      </c>
      <c r="S98" s="577" t="str">
        <f t="shared" si="76"/>
        <v>OK</v>
      </c>
      <c r="T98" s="577" t="str">
        <f t="shared" si="76"/>
        <v>OK</v>
      </c>
      <c r="U98" s="577" t="str">
        <f t="shared" si="76"/>
        <v>ERROR</v>
      </c>
      <c r="V98" s="577" t="str">
        <f t="shared" si="76"/>
        <v>OK</v>
      </c>
      <c r="W98" s="577" t="str">
        <f t="shared" si="76"/>
        <v>ERROR</v>
      </c>
      <c r="X98" s="577" t="str">
        <f t="shared" si="76"/>
        <v>OK</v>
      </c>
      <c r="Y98" s="577" t="str">
        <f t="shared" si="76"/>
        <v>OK</v>
      </c>
      <c r="Z98" s="577" t="str">
        <f t="shared" si="76"/>
        <v>OK</v>
      </c>
      <c r="AA98" s="577" t="str">
        <f t="shared" si="76"/>
        <v>OK</v>
      </c>
      <c r="AC98" s="442"/>
    </row>
    <row r="99" spans="2:29" x14ac:dyDescent="0.2">
      <c r="B99" s="693" t="s">
        <v>1783</v>
      </c>
      <c r="C99" s="694"/>
      <c r="D99" s="577" t="str">
        <f>IF(ROUND(D45,0)&lt;=ROUND(D43,0),"OK","ERROR")</f>
        <v>OK</v>
      </c>
      <c r="E99" s="577" t="str">
        <f t="shared" ref="E99:AA99" si="77">IF(ROUND(E45,0)&lt;=ROUND(E43,0),"OK","ERROR")</f>
        <v>OK</v>
      </c>
      <c r="F99" s="577" t="str">
        <f t="shared" si="77"/>
        <v>OK</v>
      </c>
      <c r="G99" s="577" t="str">
        <f t="shared" si="77"/>
        <v>OK</v>
      </c>
      <c r="H99" s="577" t="str">
        <f t="shared" si="77"/>
        <v>OK</v>
      </c>
      <c r="I99" s="577" t="str">
        <f t="shared" si="77"/>
        <v>OK</v>
      </c>
      <c r="J99" s="577" t="str">
        <f t="shared" si="77"/>
        <v>OK</v>
      </c>
      <c r="K99" s="577" t="str">
        <f t="shared" si="77"/>
        <v>OK</v>
      </c>
      <c r="L99" s="577" t="str">
        <f t="shared" si="77"/>
        <v>OK</v>
      </c>
      <c r="M99" s="577" t="str">
        <f t="shared" si="77"/>
        <v>OK</v>
      </c>
      <c r="N99" s="577" t="str">
        <f t="shared" si="77"/>
        <v>OK</v>
      </c>
      <c r="O99" s="577" t="str">
        <f t="shared" si="77"/>
        <v>OK</v>
      </c>
      <c r="P99" s="577" t="str">
        <f t="shared" si="77"/>
        <v>OK</v>
      </c>
      <c r="Q99" s="577" t="str">
        <f t="shared" si="77"/>
        <v>OK</v>
      </c>
      <c r="R99" s="577" t="str">
        <f t="shared" si="77"/>
        <v>OK</v>
      </c>
      <c r="S99" s="577" t="str">
        <f t="shared" si="77"/>
        <v>OK</v>
      </c>
      <c r="T99" s="577" t="str">
        <f t="shared" si="77"/>
        <v>OK</v>
      </c>
      <c r="U99" s="577" t="str">
        <f t="shared" si="77"/>
        <v>OK</v>
      </c>
      <c r="V99" s="577" t="str">
        <f t="shared" si="77"/>
        <v>OK</v>
      </c>
      <c r="W99" s="577" t="str">
        <f t="shared" si="77"/>
        <v>OK</v>
      </c>
      <c r="X99" s="577" t="str">
        <f t="shared" si="77"/>
        <v>OK</v>
      </c>
      <c r="Y99" s="577" t="str">
        <f t="shared" si="77"/>
        <v>OK</v>
      </c>
      <c r="Z99" s="577" t="str">
        <f t="shared" si="77"/>
        <v>OK</v>
      </c>
      <c r="AA99" s="577" t="str">
        <f t="shared" si="77"/>
        <v>OK</v>
      </c>
      <c r="AC99" s="442"/>
    </row>
    <row r="100" spans="2:29" x14ac:dyDescent="0.2">
      <c r="B100" s="693" t="s">
        <v>1784</v>
      </c>
      <c r="C100" s="694"/>
      <c r="D100" s="577" t="str">
        <f>IF(ROUND(D47,0)&lt;=ROUND(D46,0),"OK","ERROR")</f>
        <v>OK</v>
      </c>
      <c r="E100" s="577" t="str">
        <f t="shared" ref="E100:AA100" si="78">IF(ROUND(E47,0)&lt;=ROUND(E46,0),"OK","ERROR")</f>
        <v>OK</v>
      </c>
      <c r="F100" s="577" t="str">
        <f t="shared" si="78"/>
        <v>OK</v>
      </c>
      <c r="G100" s="577" t="str">
        <f t="shared" si="78"/>
        <v>OK</v>
      </c>
      <c r="H100" s="577" t="str">
        <f t="shared" si="78"/>
        <v>OK</v>
      </c>
      <c r="I100" s="577" t="str">
        <f t="shared" si="78"/>
        <v>OK</v>
      </c>
      <c r="J100" s="577" t="str">
        <f t="shared" si="78"/>
        <v>OK</v>
      </c>
      <c r="K100" s="577" t="str">
        <f t="shared" si="78"/>
        <v>OK</v>
      </c>
      <c r="L100" s="577" t="str">
        <f t="shared" si="78"/>
        <v>OK</v>
      </c>
      <c r="M100" s="577" t="str">
        <f t="shared" si="78"/>
        <v>OK</v>
      </c>
      <c r="N100" s="577" t="str">
        <f t="shared" si="78"/>
        <v>OK</v>
      </c>
      <c r="O100" s="577" t="str">
        <f t="shared" si="78"/>
        <v>OK</v>
      </c>
      <c r="P100" s="577" t="str">
        <f t="shared" si="78"/>
        <v>OK</v>
      </c>
      <c r="Q100" s="577" t="str">
        <f t="shared" si="78"/>
        <v>OK</v>
      </c>
      <c r="R100" s="577" t="str">
        <f t="shared" si="78"/>
        <v>OK</v>
      </c>
      <c r="S100" s="577" t="str">
        <f t="shared" si="78"/>
        <v>OK</v>
      </c>
      <c r="T100" s="577" t="str">
        <f t="shared" si="78"/>
        <v>OK</v>
      </c>
      <c r="U100" s="577" t="str">
        <f t="shared" si="78"/>
        <v>OK</v>
      </c>
      <c r="V100" s="577" t="str">
        <f t="shared" si="78"/>
        <v>OK</v>
      </c>
      <c r="W100" s="577" t="str">
        <f t="shared" si="78"/>
        <v>OK</v>
      </c>
      <c r="X100" s="577" t="str">
        <f t="shared" si="78"/>
        <v>OK</v>
      </c>
      <c r="Y100" s="577" t="str">
        <f t="shared" si="78"/>
        <v>OK</v>
      </c>
      <c r="Z100" s="577" t="str">
        <f t="shared" si="78"/>
        <v>OK</v>
      </c>
      <c r="AA100" s="577" t="str">
        <f t="shared" si="78"/>
        <v>OK</v>
      </c>
      <c r="AC100" s="442"/>
    </row>
    <row r="101" spans="2:29" x14ac:dyDescent="0.2">
      <c r="B101" s="693" t="s">
        <v>1785</v>
      </c>
      <c r="C101" s="694"/>
      <c r="D101" s="577" t="str">
        <f>IF(ROUND(D48,0)&lt;=ROUND(D46,0),"OK","ERROR")</f>
        <v>OK</v>
      </c>
      <c r="E101" s="577" t="str">
        <f t="shared" ref="E101:AA101" si="79">IF(ROUND(E48,0)&lt;=ROUND(E46,0),"OK","ERROR")</f>
        <v>OK</v>
      </c>
      <c r="F101" s="577" t="str">
        <f t="shared" si="79"/>
        <v>OK</v>
      </c>
      <c r="G101" s="577" t="str">
        <f t="shared" si="79"/>
        <v>OK</v>
      </c>
      <c r="H101" s="577" t="str">
        <f t="shared" si="79"/>
        <v>OK</v>
      </c>
      <c r="I101" s="577" t="str">
        <f t="shared" si="79"/>
        <v>OK</v>
      </c>
      <c r="J101" s="577" t="str">
        <f t="shared" si="79"/>
        <v>OK</v>
      </c>
      <c r="K101" s="577" t="str">
        <f t="shared" si="79"/>
        <v>OK</v>
      </c>
      <c r="L101" s="577" t="str">
        <f t="shared" si="79"/>
        <v>OK</v>
      </c>
      <c r="M101" s="577" t="str">
        <f t="shared" si="79"/>
        <v>OK</v>
      </c>
      <c r="N101" s="577" t="str">
        <f t="shared" si="79"/>
        <v>OK</v>
      </c>
      <c r="O101" s="577" t="str">
        <f t="shared" si="79"/>
        <v>OK</v>
      </c>
      <c r="P101" s="577" t="str">
        <f t="shared" si="79"/>
        <v>OK</v>
      </c>
      <c r="Q101" s="577" t="str">
        <f t="shared" si="79"/>
        <v>OK</v>
      </c>
      <c r="R101" s="577" t="str">
        <f t="shared" si="79"/>
        <v>OK</v>
      </c>
      <c r="S101" s="577" t="str">
        <f t="shared" si="79"/>
        <v>OK</v>
      </c>
      <c r="T101" s="577" t="str">
        <f t="shared" si="79"/>
        <v>OK</v>
      </c>
      <c r="U101" s="577" t="str">
        <f t="shared" si="79"/>
        <v>OK</v>
      </c>
      <c r="V101" s="577" t="str">
        <f t="shared" si="79"/>
        <v>OK</v>
      </c>
      <c r="W101" s="577" t="str">
        <f t="shared" si="79"/>
        <v>OK</v>
      </c>
      <c r="X101" s="577" t="str">
        <f t="shared" si="79"/>
        <v>OK</v>
      </c>
      <c r="Y101" s="577" t="str">
        <f t="shared" si="79"/>
        <v>OK</v>
      </c>
      <c r="Z101" s="577" t="str">
        <f t="shared" si="79"/>
        <v>OK</v>
      </c>
      <c r="AA101" s="577" t="str">
        <f t="shared" si="79"/>
        <v>OK</v>
      </c>
      <c r="AC101" s="442"/>
    </row>
    <row r="102" spans="2:29" x14ac:dyDescent="0.2">
      <c r="B102" s="693" t="s">
        <v>1786</v>
      </c>
      <c r="C102" s="694"/>
      <c r="D102" s="577" t="str">
        <f>IF(ROUND(D50,0)&lt;=ROUND(D49,0),"OK","ERROR")</f>
        <v>ERROR</v>
      </c>
      <c r="E102" s="577" t="str">
        <f t="shared" ref="E102:AA102" si="80">IF(ROUND(E50,0)&lt;=ROUND(E49,0),"OK","ERROR")</f>
        <v>OK</v>
      </c>
      <c r="F102" s="577" t="str">
        <f t="shared" si="80"/>
        <v>ERROR</v>
      </c>
      <c r="G102" s="577" t="str">
        <f t="shared" si="80"/>
        <v>OK</v>
      </c>
      <c r="H102" s="577" t="str">
        <f t="shared" si="80"/>
        <v>OK</v>
      </c>
      <c r="I102" s="577" t="str">
        <f t="shared" si="80"/>
        <v>OK</v>
      </c>
      <c r="J102" s="577" t="str">
        <f t="shared" si="80"/>
        <v>OK</v>
      </c>
      <c r="K102" s="577" t="str">
        <f t="shared" si="80"/>
        <v>OK</v>
      </c>
      <c r="L102" s="577" t="str">
        <f t="shared" si="80"/>
        <v>OK</v>
      </c>
      <c r="M102" s="577" t="str">
        <f t="shared" si="80"/>
        <v>OK</v>
      </c>
      <c r="N102" s="577" t="str">
        <f t="shared" si="80"/>
        <v>OK</v>
      </c>
      <c r="O102" s="577" t="str">
        <f t="shared" si="80"/>
        <v>ERROR</v>
      </c>
      <c r="P102" s="577" t="str">
        <f t="shared" si="80"/>
        <v>OK</v>
      </c>
      <c r="Q102" s="577" t="str">
        <f t="shared" si="80"/>
        <v>OK</v>
      </c>
      <c r="R102" s="577" t="str">
        <f t="shared" si="80"/>
        <v>OK</v>
      </c>
      <c r="S102" s="577" t="str">
        <f t="shared" si="80"/>
        <v>OK</v>
      </c>
      <c r="T102" s="577" t="str">
        <f t="shared" si="80"/>
        <v>OK</v>
      </c>
      <c r="U102" s="577" t="str">
        <f t="shared" si="80"/>
        <v>ERROR</v>
      </c>
      <c r="V102" s="577" t="str">
        <f t="shared" si="80"/>
        <v>OK</v>
      </c>
      <c r="W102" s="577" t="str">
        <f t="shared" si="80"/>
        <v>ERROR</v>
      </c>
      <c r="X102" s="577" t="str">
        <f t="shared" si="80"/>
        <v>OK</v>
      </c>
      <c r="Y102" s="577" t="str">
        <f t="shared" si="80"/>
        <v>OK</v>
      </c>
      <c r="Z102" s="577" t="str">
        <f t="shared" si="80"/>
        <v>OK</v>
      </c>
      <c r="AA102" s="577" t="str">
        <f t="shared" si="80"/>
        <v>OK</v>
      </c>
      <c r="AC102" s="442"/>
    </row>
    <row r="103" spans="2:29" x14ac:dyDescent="0.2">
      <c r="B103" s="693" t="s">
        <v>1787</v>
      </c>
      <c r="C103" s="694"/>
      <c r="D103" s="577" t="str">
        <f>IF(ROUND(D51,0)&lt;=ROUND(D49,0),"OK","ERROR")</f>
        <v>OK</v>
      </c>
      <c r="E103" s="577" t="str">
        <f t="shared" ref="E103:AA103" si="81">IF(ROUND(E51,0)&lt;=ROUND(E49,0),"OK","ERROR")</f>
        <v>OK</v>
      </c>
      <c r="F103" s="577" t="str">
        <f t="shared" si="81"/>
        <v>OK</v>
      </c>
      <c r="G103" s="577" t="str">
        <f t="shared" si="81"/>
        <v>OK</v>
      </c>
      <c r="H103" s="577" t="str">
        <f t="shared" si="81"/>
        <v>OK</v>
      </c>
      <c r="I103" s="577" t="str">
        <f t="shared" si="81"/>
        <v>OK</v>
      </c>
      <c r="J103" s="577" t="str">
        <f t="shared" si="81"/>
        <v>OK</v>
      </c>
      <c r="K103" s="577" t="str">
        <f t="shared" si="81"/>
        <v>OK</v>
      </c>
      <c r="L103" s="577" t="str">
        <f t="shared" si="81"/>
        <v>OK</v>
      </c>
      <c r="M103" s="577" t="str">
        <f t="shared" si="81"/>
        <v>OK</v>
      </c>
      <c r="N103" s="577" t="str">
        <f t="shared" si="81"/>
        <v>OK</v>
      </c>
      <c r="O103" s="577" t="str">
        <f t="shared" si="81"/>
        <v>OK</v>
      </c>
      <c r="P103" s="577" t="str">
        <f t="shared" si="81"/>
        <v>OK</v>
      </c>
      <c r="Q103" s="577" t="str">
        <f t="shared" si="81"/>
        <v>OK</v>
      </c>
      <c r="R103" s="577" t="str">
        <f t="shared" si="81"/>
        <v>OK</v>
      </c>
      <c r="S103" s="577" t="str">
        <f t="shared" si="81"/>
        <v>OK</v>
      </c>
      <c r="T103" s="577" t="str">
        <f t="shared" si="81"/>
        <v>OK</v>
      </c>
      <c r="U103" s="577" t="str">
        <f t="shared" si="81"/>
        <v>OK</v>
      </c>
      <c r="V103" s="577" t="str">
        <f t="shared" si="81"/>
        <v>OK</v>
      </c>
      <c r="W103" s="577" t="str">
        <f t="shared" si="81"/>
        <v>OK</v>
      </c>
      <c r="X103" s="577" t="str">
        <f t="shared" si="81"/>
        <v>OK</v>
      </c>
      <c r="Y103" s="577" t="str">
        <f t="shared" si="81"/>
        <v>OK</v>
      </c>
      <c r="Z103" s="577" t="str">
        <f t="shared" si="81"/>
        <v>OK</v>
      </c>
      <c r="AA103" s="577" t="str">
        <f t="shared" si="81"/>
        <v>OK</v>
      </c>
      <c r="AC103" s="442"/>
    </row>
    <row r="104" spans="2:29" x14ac:dyDescent="0.2">
      <c r="B104" s="693" t="s">
        <v>1788</v>
      </c>
      <c r="C104" s="694"/>
      <c r="D104" s="577" t="str">
        <f>IF(ROUND(D65,0)&lt;=ROUND(D64,0),"OK","ERROR")</f>
        <v>OK</v>
      </c>
      <c r="E104" s="577" t="str">
        <f t="shared" ref="E104:AA104" si="82">IF(ROUND(E65,0)&lt;=ROUND(E64,0),"OK","ERROR")</f>
        <v>OK</v>
      </c>
      <c r="F104" s="577" t="str">
        <f t="shared" si="82"/>
        <v>OK</v>
      </c>
      <c r="G104" s="577" t="str">
        <f t="shared" si="82"/>
        <v>OK</v>
      </c>
      <c r="H104" s="577" t="str">
        <f t="shared" si="82"/>
        <v>OK</v>
      </c>
      <c r="I104" s="577" t="str">
        <f t="shared" si="82"/>
        <v>OK</v>
      </c>
      <c r="J104" s="577" t="str">
        <f t="shared" si="82"/>
        <v>OK</v>
      </c>
      <c r="K104" s="577" t="str">
        <f t="shared" si="82"/>
        <v>OK</v>
      </c>
      <c r="L104" s="577" t="str">
        <f t="shared" si="82"/>
        <v>OK</v>
      </c>
      <c r="M104" s="577" t="str">
        <f t="shared" si="82"/>
        <v>OK</v>
      </c>
      <c r="N104" s="577" t="str">
        <f t="shared" si="82"/>
        <v>OK</v>
      </c>
      <c r="O104" s="577" t="str">
        <f t="shared" si="82"/>
        <v>OK</v>
      </c>
      <c r="P104" s="577" t="str">
        <f t="shared" si="82"/>
        <v>OK</v>
      </c>
      <c r="Q104" s="577" t="str">
        <f t="shared" si="82"/>
        <v>OK</v>
      </c>
      <c r="R104" s="577" t="str">
        <f t="shared" si="82"/>
        <v>OK</v>
      </c>
      <c r="S104" s="577" t="str">
        <f t="shared" si="82"/>
        <v>OK</v>
      </c>
      <c r="T104" s="577" t="str">
        <f t="shared" si="82"/>
        <v>OK</v>
      </c>
      <c r="U104" s="577" t="str">
        <f t="shared" si="82"/>
        <v>OK</v>
      </c>
      <c r="V104" s="577" t="str">
        <f t="shared" si="82"/>
        <v>OK</v>
      </c>
      <c r="W104" s="577" t="str">
        <f t="shared" si="82"/>
        <v>OK</v>
      </c>
      <c r="X104" s="577" t="str">
        <f t="shared" si="82"/>
        <v>OK</v>
      </c>
      <c r="Y104" s="577" t="str">
        <f t="shared" si="82"/>
        <v>OK</v>
      </c>
      <c r="Z104" s="577" t="str">
        <f t="shared" si="82"/>
        <v>OK</v>
      </c>
      <c r="AA104" s="577" t="str">
        <f t="shared" si="82"/>
        <v>OK</v>
      </c>
      <c r="AC104" s="442"/>
    </row>
    <row r="105" spans="2:29" x14ac:dyDescent="0.2">
      <c r="B105" s="693" t="s">
        <v>1789</v>
      </c>
      <c r="C105" s="694"/>
      <c r="D105" s="577" t="str">
        <f>IF(ROUND(D66,0)&lt;=ROUND(D64,0),"OK","ERROR")</f>
        <v>OK</v>
      </c>
      <c r="E105" s="577" t="str">
        <f t="shared" ref="E105:AA105" si="83">IF(ROUND(E66,0)&lt;=ROUND(E64,0),"OK","ERROR")</f>
        <v>OK</v>
      </c>
      <c r="F105" s="577" t="str">
        <f t="shared" si="83"/>
        <v>OK</v>
      </c>
      <c r="G105" s="577" t="str">
        <f t="shared" si="83"/>
        <v>OK</v>
      </c>
      <c r="H105" s="577" t="str">
        <f t="shared" si="83"/>
        <v>OK</v>
      </c>
      <c r="I105" s="577" t="str">
        <f t="shared" si="83"/>
        <v>OK</v>
      </c>
      <c r="J105" s="577" t="str">
        <f t="shared" si="83"/>
        <v>OK</v>
      </c>
      <c r="K105" s="577" t="str">
        <f t="shared" si="83"/>
        <v>OK</v>
      </c>
      <c r="L105" s="577" t="str">
        <f t="shared" si="83"/>
        <v>OK</v>
      </c>
      <c r="M105" s="577" t="str">
        <f t="shared" si="83"/>
        <v>OK</v>
      </c>
      <c r="N105" s="577" t="str">
        <f t="shared" si="83"/>
        <v>OK</v>
      </c>
      <c r="O105" s="577" t="str">
        <f t="shared" si="83"/>
        <v>OK</v>
      </c>
      <c r="P105" s="577" t="str">
        <f t="shared" si="83"/>
        <v>OK</v>
      </c>
      <c r="Q105" s="577" t="str">
        <f t="shared" si="83"/>
        <v>OK</v>
      </c>
      <c r="R105" s="577" t="str">
        <f t="shared" si="83"/>
        <v>OK</v>
      </c>
      <c r="S105" s="577" t="str">
        <f t="shared" si="83"/>
        <v>OK</v>
      </c>
      <c r="T105" s="577" t="str">
        <f t="shared" si="83"/>
        <v>OK</v>
      </c>
      <c r="U105" s="577" t="str">
        <f t="shared" si="83"/>
        <v>OK</v>
      </c>
      <c r="V105" s="577" t="str">
        <f t="shared" si="83"/>
        <v>OK</v>
      </c>
      <c r="W105" s="577" t="str">
        <f t="shared" si="83"/>
        <v>OK</v>
      </c>
      <c r="X105" s="577" t="str">
        <f t="shared" si="83"/>
        <v>OK</v>
      </c>
      <c r="Y105" s="577" t="str">
        <f t="shared" si="83"/>
        <v>OK</v>
      </c>
      <c r="Z105" s="577" t="str">
        <f t="shared" si="83"/>
        <v>OK</v>
      </c>
      <c r="AA105" s="577" t="str">
        <f t="shared" si="83"/>
        <v>OK</v>
      </c>
      <c r="AC105" s="442"/>
    </row>
  </sheetData>
  <mergeCells count="4">
    <mergeCell ref="P8:T8"/>
    <mergeCell ref="P9:S9"/>
    <mergeCell ref="S10:S12"/>
    <mergeCell ref="T10:T12"/>
  </mergeCells>
  <conditionalFormatting sqref="D40">
    <cfRule type="cellIs" dxfId="4" priority="1" stopIfTrue="1" operator="equal">
      <formula>$D$82="ERROR"</formula>
    </cfRule>
  </conditionalFormatting>
  <printOptions gridLines="1" gridLinesSet="0"/>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colBreaks count="1" manualBreakCount="1">
    <brk id="15" max="34"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21">
    <tabColor rgb="FF92D050"/>
  </sheetPr>
  <dimension ref="A1:AM64"/>
  <sheetViews>
    <sheetView zoomScale="85" zoomScaleNormal="85" workbookViewId="0">
      <selection activeCell="B5" sqref="B5"/>
    </sheetView>
  </sheetViews>
  <sheetFormatPr defaultColWidth="11.42578125" defaultRowHeight="12.75" x14ac:dyDescent="0.2"/>
  <cols>
    <col min="1" max="1" width="8.42578125" style="616" customWidth="1"/>
    <col min="2" max="2" width="59.5703125" style="616" bestFit="1" customWidth="1"/>
    <col min="3" max="3" width="4.5703125" style="616" customWidth="1"/>
    <col min="4" max="7" width="20.42578125" style="616" customWidth="1"/>
    <col min="8" max="9" width="15.5703125" style="616" customWidth="1"/>
    <col min="10" max="11" width="16.42578125" style="616" customWidth="1"/>
    <col min="12" max="12" width="15.5703125" style="616" customWidth="1"/>
    <col min="13" max="13" width="17.5703125" style="616" customWidth="1"/>
    <col min="14" max="14" width="20.42578125" style="616" customWidth="1"/>
    <col min="15" max="15" width="24.5703125" style="616" customWidth="1"/>
    <col min="16" max="20" width="17.5703125" style="616" customWidth="1"/>
    <col min="21" max="27" width="20.42578125" style="616" customWidth="1"/>
    <col min="28" max="28" width="4.5703125" style="616" customWidth="1"/>
    <col min="29" max="30" width="11.42578125" style="616" customWidth="1"/>
    <col min="31" max="32" width="10.5703125" style="616" bestFit="1" customWidth="1"/>
    <col min="33" max="35" width="14.5703125" style="616" bestFit="1" customWidth="1"/>
    <col min="36" max="36" width="10.5703125" style="616" bestFit="1" customWidth="1"/>
    <col min="37" max="37" width="15.42578125" style="616" bestFit="1" customWidth="1"/>
    <col min="38" max="38" width="33.5703125" style="332" customWidth="1"/>
    <col min="39" max="16384" width="11.42578125" style="616"/>
  </cols>
  <sheetData>
    <row r="1" spans="1:38" ht="25.35" customHeight="1" x14ac:dyDescent="0.25">
      <c r="A1" s="441"/>
      <c r="B1" s="441"/>
      <c r="C1" s="441"/>
      <c r="E1" s="639" t="s">
        <v>1953</v>
      </c>
      <c r="H1" s="618"/>
      <c r="I1" s="618"/>
      <c r="J1" s="618"/>
      <c r="K1" s="618"/>
      <c r="L1" s="618"/>
      <c r="M1" s="640" t="s">
        <v>100</v>
      </c>
      <c r="O1" s="641" t="s">
        <v>2246</v>
      </c>
      <c r="P1" s="618"/>
      <c r="Q1" s="639" t="s">
        <v>1953</v>
      </c>
      <c r="R1" s="618"/>
      <c r="S1" s="618"/>
      <c r="T1" s="618"/>
      <c r="U1" s="618"/>
      <c r="V1" s="618"/>
      <c r="W1" s="618"/>
      <c r="X1" s="618"/>
      <c r="Y1" s="618"/>
      <c r="Z1" s="640" t="s">
        <v>100</v>
      </c>
      <c r="AA1" s="641" t="str">
        <f>O1</f>
        <v>P_CRSABIS_11</v>
      </c>
      <c r="AB1" s="441"/>
    </row>
    <row r="2" spans="1:38" ht="25.35" customHeight="1" x14ac:dyDescent="0.25">
      <c r="A2" s="441"/>
      <c r="B2" s="618"/>
      <c r="C2" s="441"/>
      <c r="E2" s="642" t="s">
        <v>99</v>
      </c>
      <c r="H2" s="618"/>
      <c r="I2" s="618"/>
      <c r="J2" s="618"/>
      <c r="K2" s="618"/>
      <c r="L2" s="442"/>
      <c r="M2" s="640" t="s">
        <v>98</v>
      </c>
      <c r="O2" s="643" t="s">
        <v>119</v>
      </c>
      <c r="P2" s="618"/>
      <c r="Q2" s="642" t="s">
        <v>99</v>
      </c>
      <c r="R2" s="441"/>
      <c r="S2" s="618"/>
      <c r="T2" s="618"/>
      <c r="U2" s="618"/>
      <c r="V2" s="618"/>
      <c r="W2" s="618"/>
      <c r="X2" s="618"/>
      <c r="Y2" s="618"/>
      <c r="Z2" s="640" t="s">
        <v>98</v>
      </c>
      <c r="AA2" s="643" t="str">
        <f>O2</f>
        <v>XXXXXX</v>
      </c>
      <c r="AB2" s="441"/>
    </row>
    <row r="3" spans="1:38" ht="25.35" customHeight="1" x14ac:dyDescent="0.25">
      <c r="A3" s="441"/>
      <c r="B3" s="618"/>
      <c r="C3" s="441"/>
      <c r="E3" s="644" t="s">
        <v>97</v>
      </c>
      <c r="H3" s="618"/>
      <c r="I3" s="618"/>
      <c r="L3" s="442"/>
      <c r="M3" s="640" t="s">
        <v>96</v>
      </c>
      <c r="O3" s="645" t="s">
        <v>121</v>
      </c>
      <c r="P3" s="618"/>
      <c r="Q3" s="644" t="s">
        <v>97</v>
      </c>
      <c r="R3" s="441"/>
      <c r="S3" s="618"/>
      <c r="T3" s="618"/>
      <c r="U3" s="618"/>
      <c r="V3" s="618"/>
      <c r="W3" s="618"/>
      <c r="X3" s="618"/>
      <c r="Y3" s="618"/>
      <c r="Z3" s="640" t="s">
        <v>96</v>
      </c>
      <c r="AA3" s="645" t="str">
        <f>O3</f>
        <v>DD.MM.YYYY</v>
      </c>
      <c r="AB3" s="441"/>
    </row>
    <row r="4" spans="1:38" ht="25.35" customHeight="1" x14ac:dyDescent="0.25">
      <c r="A4" s="441"/>
      <c r="B4" s="618"/>
      <c r="C4" s="441"/>
      <c r="E4" s="620" t="s">
        <v>1468</v>
      </c>
      <c r="J4" s="618"/>
      <c r="K4" s="618"/>
      <c r="M4" s="441"/>
      <c r="O4" s="647"/>
      <c r="P4" s="618"/>
      <c r="Q4" s="620" t="s">
        <v>1468</v>
      </c>
      <c r="R4" s="618"/>
      <c r="S4" s="618"/>
      <c r="T4" s="618"/>
      <c r="U4" s="618"/>
      <c r="V4" s="618"/>
      <c r="W4" s="618"/>
      <c r="X4" s="618"/>
      <c r="Y4" s="618"/>
      <c r="Z4" s="618"/>
      <c r="AA4" s="618"/>
      <c r="AB4" s="441"/>
    </row>
    <row r="5" spans="1:38" ht="25.35" customHeight="1" x14ac:dyDescent="0.2">
      <c r="A5" s="441"/>
      <c r="B5" s="106" t="s">
        <v>2250</v>
      </c>
      <c r="C5" s="441"/>
      <c r="E5" s="616" t="s">
        <v>94</v>
      </c>
      <c r="F5" s="618"/>
      <c r="G5" s="618"/>
      <c r="H5" s="618"/>
      <c r="I5" s="618"/>
      <c r="J5" s="618"/>
      <c r="K5" s="618"/>
      <c r="L5" s="618"/>
      <c r="M5" s="618"/>
      <c r="N5" s="618"/>
      <c r="O5" s="618"/>
      <c r="P5" s="618"/>
      <c r="Q5" s="616" t="s">
        <v>94</v>
      </c>
      <c r="R5" s="618"/>
      <c r="S5" s="618"/>
      <c r="T5" s="618"/>
      <c r="U5" s="618"/>
      <c r="V5" s="618"/>
      <c r="W5" s="618"/>
      <c r="X5" s="618"/>
      <c r="Y5" s="618"/>
      <c r="Z5" s="618"/>
      <c r="AA5" s="618"/>
      <c r="AB5" s="441"/>
    </row>
    <row r="6" spans="1:38" ht="25.35" customHeight="1" x14ac:dyDescent="0.2">
      <c r="A6" s="441"/>
      <c r="B6" s="618"/>
      <c r="C6" s="441"/>
      <c r="D6" s="441"/>
      <c r="AB6" s="441"/>
    </row>
    <row r="7" spans="1:38" ht="25.35" customHeight="1" x14ac:dyDescent="0.2">
      <c r="A7" s="648"/>
      <c r="B7" s="618"/>
      <c r="C7" s="648"/>
      <c r="D7" s="648"/>
      <c r="F7" s="618"/>
      <c r="G7" s="618"/>
      <c r="H7" s="618"/>
      <c r="I7" s="618"/>
      <c r="J7" s="618"/>
      <c r="K7" s="618"/>
      <c r="L7" s="618"/>
      <c r="M7" s="649"/>
      <c r="N7" s="618"/>
      <c r="O7" s="649"/>
      <c r="P7" s="618"/>
      <c r="R7" s="649"/>
      <c r="S7" s="618"/>
      <c r="T7" s="618"/>
      <c r="U7" s="618"/>
      <c r="V7" s="618"/>
      <c r="W7" s="618"/>
      <c r="X7" s="618"/>
      <c r="Y7" s="618"/>
      <c r="Z7" s="618"/>
      <c r="AA7" s="618"/>
      <c r="AB7" s="648"/>
    </row>
    <row r="8" spans="1:38" ht="17.850000000000001" customHeight="1" x14ac:dyDescent="0.25">
      <c r="A8" s="650"/>
      <c r="B8" s="651"/>
      <c r="C8" s="652"/>
      <c r="D8" s="653" t="s">
        <v>93</v>
      </c>
      <c r="E8" s="653" t="s">
        <v>92</v>
      </c>
      <c r="F8" s="654" t="s">
        <v>90</v>
      </c>
      <c r="G8" s="621"/>
      <c r="H8" s="608"/>
      <c r="I8" s="609"/>
      <c r="J8" s="609"/>
      <c r="K8" s="609"/>
      <c r="L8" s="609"/>
      <c r="M8" s="610"/>
      <c r="N8" s="977"/>
      <c r="O8" s="655" t="s">
        <v>90</v>
      </c>
      <c r="P8" s="1678" t="s">
        <v>89</v>
      </c>
      <c r="Q8" s="1679"/>
      <c r="R8" s="1679"/>
      <c r="S8" s="1679"/>
      <c r="T8" s="1680"/>
      <c r="U8" s="1465" t="s">
        <v>88</v>
      </c>
      <c r="V8" s="1465" t="s">
        <v>87</v>
      </c>
      <c r="W8" s="656" t="s">
        <v>86</v>
      </c>
      <c r="X8" s="621"/>
      <c r="Y8" s="621"/>
      <c r="Z8" s="621"/>
      <c r="AA8" s="657" t="s">
        <v>85</v>
      </c>
      <c r="AB8" s="652"/>
      <c r="AC8" s="658"/>
      <c r="AD8" s="658"/>
    </row>
    <row r="9" spans="1:38" ht="66.75" customHeight="1" x14ac:dyDescent="0.25">
      <c r="A9" s="659"/>
      <c r="B9" s="639"/>
      <c r="C9" s="660"/>
      <c r="D9" s="661" t="s">
        <v>83</v>
      </c>
      <c r="E9" s="661" t="s">
        <v>82</v>
      </c>
      <c r="F9" s="662" t="s">
        <v>80</v>
      </c>
      <c r="G9" s="622" t="s">
        <v>1950</v>
      </c>
      <c r="H9" s="629" t="s">
        <v>1951</v>
      </c>
      <c r="I9" s="626"/>
      <c r="J9" s="630"/>
      <c r="K9" s="626"/>
      <c r="L9" s="630"/>
      <c r="M9" s="631"/>
      <c r="N9" s="978" t="s">
        <v>1356</v>
      </c>
      <c r="O9" s="631" t="s">
        <v>80</v>
      </c>
      <c r="P9" s="1681" t="s">
        <v>1402</v>
      </c>
      <c r="Q9" s="1682"/>
      <c r="R9" s="1682"/>
      <c r="S9" s="1683"/>
      <c r="T9" s="663" t="s">
        <v>1764</v>
      </c>
      <c r="U9" s="1466" t="s">
        <v>79</v>
      </c>
      <c r="V9" s="1466" t="s">
        <v>78</v>
      </c>
      <c r="W9" s="664" t="s">
        <v>77</v>
      </c>
      <c r="X9" s="622"/>
      <c r="Y9" s="622"/>
      <c r="Z9" s="622"/>
      <c r="AA9" s="661" t="s">
        <v>76</v>
      </c>
      <c r="AB9" s="660"/>
      <c r="AC9" s="658"/>
      <c r="AD9" s="658"/>
    </row>
    <row r="10" spans="1:38" ht="17.850000000000001" customHeight="1" x14ac:dyDescent="0.25">
      <c r="A10" s="659"/>
      <c r="B10" s="639"/>
      <c r="C10" s="660"/>
      <c r="D10" s="661" t="s">
        <v>75</v>
      </c>
      <c r="E10" s="661" t="s">
        <v>74</v>
      </c>
      <c r="F10" s="662" t="s">
        <v>73</v>
      </c>
      <c r="G10" s="622"/>
      <c r="H10" s="632" t="s">
        <v>1437</v>
      </c>
      <c r="I10" s="626"/>
      <c r="J10" s="626"/>
      <c r="K10" s="626"/>
      <c r="L10" s="626"/>
      <c r="M10" s="633"/>
      <c r="N10" s="978"/>
      <c r="O10" s="631" t="s">
        <v>72</v>
      </c>
      <c r="P10" s="1464" t="s">
        <v>71</v>
      </c>
      <c r="Q10" s="665"/>
      <c r="R10" s="666" t="s">
        <v>70</v>
      </c>
      <c r="S10" s="1684" t="s">
        <v>1465</v>
      </c>
      <c r="T10" s="1684" t="s">
        <v>1439</v>
      </c>
      <c r="U10" s="1466" t="s">
        <v>68</v>
      </c>
      <c r="V10" s="1466" t="s">
        <v>1458</v>
      </c>
      <c r="W10" s="664" t="s">
        <v>1464</v>
      </c>
      <c r="X10" s="622"/>
      <c r="Y10" s="622"/>
      <c r="Z10" s="622"/>
      <c r="AA10" s="664"/>
      <c r="AB10" s="660"/>
      <c r="AC10" s="658"/>
      <c r="AD10" s="658"/>
    </row>
    <row r="11" spans="1:38" ht="17.850000000000001" customHeight="1" x14ac:dyDescent="0.25">
      <c r="A11" s="659"/>
      <c r="B11" s="639"/>
      <c r="C11" s="660"/>
      <c r="D11" s="661"/>
      <c r="E11" s="661" t="s">
        <v>65</v>
      </c>
      <c r="F11" s="662" t="s">
        <v>64</v>
      </c>
      <c r="G11" s="622"/>
      <c r="H11" s="634" t="s">
        <v>1438</v>
      </c>
      <c r="I11" s="627"/>
      <c r="J11" s="635"/>
      <c r="K11" s="627"/>
      <c r="L11" s="627"/>
      <c r="M11" s="636"/>
      <c r="N11" s="978"/>
      <c r="O11" s="631" t="s">
        <v>63</v>
      </c>
      <c r="P11" s="667" t="s">
        <v>62</v>
      </c>
      <c r="Q11" s="663"/>
      <c r="R11" s="663" t="s">
        <v>61</v>
      </c>
      <c r="S11" s="1685"/>
      <c r="T11" s="1685"/>
      <c r="U11" s="1466" t="s">
        <v>59</v>
      </c>
      <c r="V11" s="1466" t="s">
        <v>58</v>
      </c>
      <c r="X11" s="622"/>
      <c r="Y11" s="622"/>
      <c r="Z11" s="622"/>
      <c r="AA11" s="664"/>
      <c r="AB11" s="660"/>
      <c r="AC11" s="658"/>
      <c r="AD11" s="658"/>
    </row>
    <row r="12" spans="1:38" ht="85.35" customHeight="1" x14ac:dyDescent="0.2">
      <c r="A12" s="441"/>
      <c r="B12" s="441"/>
      <c r="C12" s="660"/>
      <c r="D12" s="664"/>
      <c r="E12" s="664" t="s">
        <v>57</v>
      </c>
      <c r="F12" s="662" t="s">
        <v>56</v>
      </c>
      <c r="G12" s="623"/>
      <c r="H12" s="628" t="s">
        <v>34</v>
      </c>
      <c r="I12" s="628">
        <v>0.1</v>
      </c>
      <c r="J12" s="637">
        <v>0.2</v>
      </c>
      <c r="K12" s="628">
        <v>0.4</v>
      </c>
      <c r="L12" s="638">
        <v>0.5</v>
      </c>
      <c r="M12" s="637">
        <v>1</v>
      </c>
      <c r="N12" s="979"/>
      <c r="O12" s="631" t="s">
        <v>55</v>
      </c>
      <c r="P12" s="668" t="s">
        <v>54</v>
      </c>
      <c r="Q12" s="668" t="s">
        <v>53</v>
      </c>
      <c r="R12" s="668" t="s">
        <v>52</v>
      </c>
      <c r="S12" s="1685"/>
      <c r="T12" s="1685"/>
      <c r="U12" s="1466" t="s">
        <v>1466</v>
      </c>
      <c r="V12" s="1466" t="s">
        <v>1459</v>
      </c>
      <c r="W12" s="664"/>
      <c r="X12" s="622" t="s">
        <v>1950</v>
      </c>
      <c r="Y12" s="622" t="s">
        <v>1952</v>
      </c>
      <c r="Z12" s="622" t="s">
        <v>1356</v>
      </c>
      <c r="AA12" s="664"/>
      <c r="AB12" s="660"/>
      <c r="AC12" s="669"/>
      <c r="AD12" s="669"/>
    </row>
    <row r="13" spans="1:38" ht="25.35" customHeight="1" x14ac:dyDescent="0.2">
      <c r="A13" s="618"/>
      <c r="B13" s="649"/>
      <c r="C13" s="670"/>
      <c r="D13" s="624" t="s">
        <v>22</v>
      </c>
      <c r="E13" s="624" t="s">
        <v>21</v>
      </c>
      <c r="F13" s="624" t="s">
        <v>20</v>
      </c>
      <c r="G13" s="624" t="s">
        <v>19</v>
      </c>
      <c r="H13" s="624" t="s">
        <v>18</v>
      </c>
      <c r="I13" s="624" t="s">
        <v>17</v>
      </c>
      <c r="J13" s="624" t="s">
        <v>16</v>
      </c>
      <c r="K13" s="624" t="s">
        <v>15</v>
      </c>
      <c r="L13" s="624" t="s">
        <v>14</v>
      </c>
      <c r="M13" s="624" t="s">
        <v>13</v>
      </c>
      <c r="N13" s="624" t="s">
        <v>12</v>
      </c>
      <c r="O13" s="976" t="s">
        <v>11</v>
      </c>
      <c r="P13" s="624" t="s">
        <v>10</v>
      </c>
      <c r="Q13" s="624" t="s">
        <v>9</v>
      </c>
      <c r="R13" s="624" t="s">
        <v>8</v>
      </c>
      <c r="S13" s="624" t="s">
        <v>7</v>
      </c>
      <c r="T13" s="624" t="s">
        <v>6</v>
      </c>
      <c r="U13" s="624" t="s">
        <v>5</v>
      </c>
      <c r="V13" s="624" t="s">
        <v>1420</v>
      </c>
      <c r="W13" s="624" t="s">
        <v>1421</v>
      </c>
      <c r="X13" s="624" t="s">
        <v>1422</v>
      </c>
      <c r="Y13" s="624" t="s">
        <v>1423</v>
      </c>
      <c r="Z13" s="624" t="s">
        <v>1424</v>
      </c>
      <c r="AA13" s="624" t="s">
        <v>1425</v>
      </c>
      <c r="AB13" s="670"/>
      <c r="AD13" s="441"/>
      <c r="AE13" s="260" t="s">
        <v>47</v>
      </c>
      <c r="AF13" s="260" t="s">
        <v>46</v>
      </c>
      <c r="AG13" s="1463" t="s">
        <v>1749</v>
      </c>
      <c r="AH13" s="1463" t="s">
        <v>1750</v>
      </c>
      <c r="AI13" s="1463" t="s">
        <v>1751</v>
      </c>
      <c r="AJ13" s="260" t="s">
        <v>1752</v>
      </c>
      <c r="AK13" s="1463" t="s">
        <v>1753</v>
      </c>
      <c r="AL13" s="563" t="s">
        <v>1792</v>
      </c>
    </row>
    <row r="14" spans="1:38" ht="25.35" customHeight="1" thickBot="1" x14ac:dyDescent="0.25">
      <c r="A14" s="1010">
        <v>1</v>
      </c>
      <c r="B14" s="671" t="s">
        <v>39</v>
      </c>
      <c r="C14" s="1467" t="s">
        <v>241</v>
      </c>
      <c r="D14" s="292">
        <f>SUM(D23+D34+D35+D38)</f>
        <v>95100000</v>
      </c>
      <c r="E14" s="292">
        <f t="shared" ref="E14:AA14" si="0">SUM(E23+E34+E35+E38)</f>
        <v>0</v>
      </c>
      <c r="F14" s="292">
        <f t="shared" si="0"/>
        <v>95100000</v>
      </c>
      <c r="G14" s="292">
        <f t="shared" si="0"/>
        <v>0</v>
      </c>
      <c r="H14" s="292">
        <f t="shared" si="0"/>
        <v>40000</v>
      </c>
      <c r="I14" s="292">
        <f t="shared" si="0"/>
        <v>0</v>
      </c>
      <c r="J14" s="292">
        <f t="shared" si="0"/>
        <v>0</v>
      </c>
      <c r="K14" s="292">
        <f t="shared" si="0"/>
        <v>0</v>
      </c>
      <c r="L14" s="292">
        <f t="shared" si="0"/>
        <v>0</v>
      </c>
      <c r="M14" s="292">
        <f t="shared" si="0"/>
        <v>0</v>
      </c>
      <c r="N14" s="614">
        <f t="shared" si="0"/>
        <v>0</v>
      </c>
      <c r="O14" s="981">
        <f t="shared" si="0"/>
        <v>95010000</v>
      </c>
      <c r="P14" s="292">
        <f t="shared" si="0"/>
        <v>0</v>
      </c>
      <c r="Q14" s="292">
        <f t="shared" si="0"/>
        <v>0</v>
      </c>
      <c r="R14" s="292">
        <f t="shared" si="0"/>
        <v>0</v>
      </c>
      <c r="S14" s="292">
        <f t="shared" si="0"/>
        <v>0</v>
      </c>
      <c r="T14" s="292">
        <f t="shared" si="0"/>
        <v>0</v>
      </c>
      <c r="U14" s="292">
        <f t="shared" si="0"/>
        <v>95010000</v>
      </c>
      <c r="V14" s="292">
        <f t="shared" si="0"/>
        <v>0</v>
      </c>
      <c r="W14" s="292">
        <f t="shared" si="0"/>
        <v>95010000</v>
      </c>
      <c r="X14" s="292">
        <f t="shared" si="0"/>
        <v>0</v>
      </c>
      <c r="Y14" s="292">
        <f t="shared" si="0"/>
        <v>0</v>
      </c>
      <c r="Z14" s="292">
        <f t="shared" si="0"/>
        <v>0</v>
      </c>
      <c r="AA14" s="292">
        <f t="shared" si="0"/>
        <v>0</v>
      </c>
      <c r="AB14" s="1467" t="s">
        <v>241</v>
      </c>
      <c r="AC14" s="615"/>
      <c r="AD14" s="672"/>
      <c r="AE14" s="672" t="str">
        <f t="shared" ref="AE14:AE29" si="1">IF(D14&gt;=0,"OK","ERROR")</f>
        <v>OK</v>
      </c>
      <c r="AF14" s="672" t="str">
        <f t="shared" ref="AF14:AF29" si="2">IF(E14&lt;=0,"OK","ERROR")</f>
        <v>OK</v>
      </c>
      <c r="AG14" s="672" t="str">
        <f t="shared" ref="AG14:AG29" si="3">IF(MIN(F14:O14)&gt;=0,"OK","ERROR")</f>
        <v>OK</v>
      </c>
      <c r="AH14" s="672" t="str">
        <f t="shared" ref="AH14:AH29" si="4">IF(MAX(P14:S14)&lt;=0,"OK","ERROR")</f>
        <v>OK</v>
      </c>
      <c r="AI14" s="672" t="str">
        <f t="shared" ref="AI14:AI29" si="5">IF(MIN(T14:U14)&gt;=0,"OK","ERROR")</f>
        <v>OK</v>
      </c>
      <c r="AJ14" s="672" t="str">
        <f t="shared" ref="AJ14:AJ29" si="6">IF(V14&lt;=0,"OK","ERROR")</f>
        <v>OK</v>
      </c>
      <c r="AK14" s="672" t="str">
        <f t="shared" ref="AK14:AK29" si="7">IF(MIN(W14:AA14)&gt;=0,"OK","ERROR")</f>
        <v>OK</v>
      </c>
    </row>
    <row r="15" spans="1:38" ht="25.35" customHeight="1" thickTop="1" thickBot="1" x14ac:dyDescent="0.25">
      <c r="A15" s="1010">
        <v>2</v>
      </c>
      <c r="B15" s="1468" t="s">
        <v>1496</v>
      </c>
      <c r="C15" s="1422" t="s">
        <v>241</v>
      </c>
      <c r="D15" s="1193"/>
      <c r="E15" s="1193"/>
      <c r="F15" s="923">
        <f>D15+E15</f>
        <v>0</v>
      </c>
      <c r="G15" s="1469"/>
      <c r="H15" s="1469"/>
      <c r="I15" s="1469"/>
      <c r="J15" s="1469"/>
      <c r="K15" s="1469"/>
      <c r="L15" s="1469"/>
      <c r="M15" s="1469"/>
      <c r="N15" s="1469"/>
      <c r="O15" s="1193"/>
      <c r="P15" s="1469"/>
      <c r="Q15" s="1469"/>
      <c r="R15" s="1469"/>
      <c r="S15" s="1469"/>
      <c r="T15" s="1469"/>
      <c r="U15" s="1469"/>
      <c r="V15" s="1469"/>
      <c r="W15" s="1193"/>
      <c r="X15" s="1193"/>
      <c r="Y15" s="1193"/>
      <c r="Z15" s="1193"/>
      <c r="AA15" s="1193"/>
      <c r="AB15" s="1422" t="s">
        <v>241</v>
      </c>
      <c r="AC15" s="615"/>
      <c r="AD15" s="715"/>
      <c r="AE15" s="672" t="str">
        <f t="shared" si="1"/>
        <v>OK</v>
      </c>
      <c r="AF15" s="672" t="str">
        <f t="shared" si="2"/>
        <v>OK</v>
      </c>
      <c r="AG15" s="672" t="str">
        <f t="shared" si="3"/>
        <v>OK</v>
      </c>
      <c r="AH15" s="672" t="str">
        <f t="shared" si="4"/>
        <v>OK</v>
      </c>
      <c r="AI15" s="672" t="str">
        <f t="shared" si="5"/>
        <v>OK</v>
      </c>
      <c r="AJ15" s="672" t="str">
        <f t="shared" si="6"/>
        <v>OK</v>
      </c>
      <c r="AK15" s="672" t="str">
        <f t="shared" si="7"/>
        <v>OK</v>
      </c>
    </row>
    <row r="16" spans="1:38" ht="25.35" customHeight="1" thickTop="1" thickBot="1" x14ac:dyDescent="0.25">
      <c r="A16" s="1010">
        <v>3</v>
      </c>
      <c r="B16" s="1471" t="s">
        <v>1731</v>
      </c>
      <c r="C16" s="1422" t="s">
        <v>241</v>
      </c>
      <c r="D16" s="915"/>
      <c r="E16" s="915"/>
      <c r="F16" s="923">
        <f>D16+E16</f>
        <v>0</v>
      </c>
      <c r="G16" s="1469"/>
      <c r="H16" s="1469"/>
      <c r="I16" s="1469"/>
      <c r="J16" s="1469"/>
      <c r="K16" s="1469"/>
      <c r="L16" s="1469"/>
      <c r="M16" s="1469"/>
      <c r="N16" s="1469"/>
      <c r="O16" s="915"/>
      <c r="P16" s="1469"/>
      <c r="Q16" s="1469"/>
      <c r="R16" s="1469"/>
      <c r="S16" s="1469"/>
      <c r="T16" s="1469"/>
      <c r="U16" s="1469"/>
      <c r="V16" s="1469"/>
      <c r="W16" s="915"/>
      <c r="X16" s="915"/>
      <c r="Y16" s="915"/>
      <c r="Z16" s="915"/>
      <c r="AA16" s="915"/>
      <c r="AB16" s="1422" t="s">
        <v>241</v>
      </c>
      <c r="AC16" s="615"/>
      <c r="AD16" s="715"/>
      <c r="AE16" s="672" t="str">
        <f t="shared" si="1"/>
        <v>OK</v>
      </c>
      <c r="AF16" s="672" t="str">
        <f t="shared" si="2"/>
        <v>OK</v>
      </c>
      <c r="AG16" s="672" t="str">
        <f t="shared" si="3"/>
        <v>OK</v>
      </c>
      <c r="AH16" s="672" t="str">
        <f t="shared" si="4"/>
        <v>OK</v>
      </c>
      <c r="AI16" s="672" t="str">
        <f t="shared" si="5"/>
        <v>OK</v>
      </c>
      <c r="AJ16" s="672" t="str">
        <f t="shared" si="6"/>
        <v>OK</v>
      </c>
      <c r="AK16" s="672" t="str">
        <f t="shared" si="7"/>
        <v>OK</v>
      </c>
    </row>
    <row r="17" spans="1:39" ht="37.5" customHeight="1" thickTop="1" thickBot="1" x14ac:dyDescent="0.25">
      <c r="A17" s="1010">
        <v>4</v>
      </c>
      <c r="B17" s="673" t="s">
        <v>38</v>
      </c>
      <c r="C17" s="293"/>
      <c r="D17" s="292">
        <f>D18+D19+D20+D21+D22</f>
        <v>95470000</v>
      </c>
      <c r="E17" s="292">
        <f t="shared" ref="E17:AA17" si="8">E18+E19+E20+E21+E22</f>
        <v>0</v>
      </c>
      <c r="F17" s="292">
        <f t="shared" si="8"/>
        <v>95470000</v>
      </c>
      <c r="G17" s="292">
        <f t="shared" si="8"/>
        <v>0</v>
      </c>
      <c r="H17" s="292">
        <f t="shared" si="8"/>
        <v>40000</v>
      </c>
      <c r="I17" s="292">
        <f t="shared" si="8"/>
        <v>0</v>
      </c>
      <c r="J17" s="292">
        <f t="shared" si="8"/>
        <v>0</v>
      </c>
      <c r="K17" s="292">
        <f t="shared" si="8"/>
        <v>0</v>
      </c>
      <c r="L17" s="292">
        <f t="shared" si="8"/>
        <v>0</v>
      </c>
      <c r="M17" s="292">
        <f t="shared" si="8"/>
        <v>0</v>
      </c>
      <c r="N17" s="292">
        <f t="shared" si="8"/>
        <v>0</v>
      </c>
      <c r="O17" s="292">
        <f t="shared" si="8"/>
        <v>95430000</v>
      </c>
      <c r="P17" s="1469"/>
      <c r="Q17" s="1469"/>
      <c r="R17" s="1469"/>
      <c r="S17" s="1469"/>
      <c r="T17" s="1469"/>
      <c r="U17" s="1469"/>
      <c r="V17" s="1469"/>
      <c r="W17" s="292">
        <f t="shared" si="8"/>
        <v>0</v>
      </c>
      <c r="X17" s="292">
        <f t="shared" si="8"/>
        <v>0</v>
      </c>
      <c r="Y17" s="292">
        <f t="shared" si="8"/>
        <v>0</v>
      </c>
      <c r="Z17" s="292">
        <f t="shared" si="8"/>
        <v>0</v>
      </c>
      <c r="AA17" s="292">
        <f t="shared" si="8"/>
        <v>240000</v>
      </c>
      <c r="AB17" s="293"/>
      <c r="AC17" s="674"/>
      <c r="AD17" s="675"/>
      <c r="AE17" s="672" t="str">
        <f t="shared" si="1"/>
        <v>OK</v>
      </c>
      <c r="AF17" s="672" t="str">
        <f t="shared" si="2"/>
        <v>OK</v>
      </c>
      <c r="AG17" s="672" t="str">
        <f t="shared" si="3"/>
        <v>OK</v>
      </c>
      <c r="AH17" s="672" t="str">
        <f t="shared" si="4"/>
        <v>OK</v>
      </c>
      <c r="AI17" s="672" t="str">
        <f t="shared" si="5"/>
        <v>OK</v>
      </c>
      <c r="AJ17" s="672" t="str">
        <f t="shared" si="6"/>
        <v>OK</v>
      </c>
      <c r="AK17" s="672" t="str">
        <f t="shared" si="7"/>
        <v>OK</v>
      </c>
    </row>
    <row r="18" spans="1:39" ht="25.35" customHeight="1" thickTop="1" thickBot="1" x14ac:dyDescent="0.25">
      <c r="A18" s="1010">
        <v>5</v>
      </c>
      <c r="B18" s="676" t="s">
        <v>37</v>
      </c>
      <c r="C18" s="293" t="s">
        <v>241</v>
      </c>
      <c r="D18" s="245">
        <v>95420000</v>
      </c>
      <c r="E18" s="245"/>
      <c r="F18" s="614">
        <f>D18+E18</f>
        <v>95420000</v>
      </c>
      <c r="G18" s="923">
        <f>G23+G34+G35+G38</f>
        <v>0</v>
      </c>
      <c r="H18" s="1469"/>
      <c r="I18" s="1469"/>
      <c r="J18" s="1469"/>
      <c r="K18" s="1469"/>
      <c r="L18" s="1469"/>
      <c r="M18" s="1469"/>
      <c r="N18" s="1469"/>
      <c r="O18" s="923">
        <f>F18-H18-0.9*I18-0.8*J18-0.6*K18-0.5*L18</f>
        <v>95420000</v>
      </c>
      <c r="P18" s="1469"/>
      <c r="Q18" s="1469"/>
      <c r="R18" s="1469"/>
      <c r="S18" s="1469"/>
      <c r="T18" s="1469"/>
      <c r="U18" s="1469"/>
      <c r="V18" s="1469"/>
      <c r="W18" s="1193">
        <f t="shared" ref="W18:W33" si="9">U18+V18</f>
        <v>0</v>
      </c>
      <c r="X18" s="1204">
        <f>X23+X34+X35+X38</f>
        <v>0</v>
      </c>
      <c r="Y18" s="1469"/>
      <c r="Z18" s="1469"/>
      <c r="AA18" s="245">
        <v>240000</v>
      </c>
      <c r="AB18" s="293" t="s">
        <v>241</v>
      </c>
      <c r="AC18" s="615"/>
      <c r="AD18" s="577"/>
      <c r="AE18" s="672" t="str">
        <f t="shared" si="1"/>
        <v>OK</v>
      </c>
      <c r="AF18" s="672" t="str">
        <f t="shared" si="2"/>
        <v>OK</v>
      </c>
      <c r="AG18" s="672" t="str">
        <f t="shared" si="3"/>
        <v>OK</v>
      </c>
      <c r="AH18" s="672" t="str">
        <f t="shared" si="4"/>
        <v>OK</v>
      </c>
      <c r="AI18" s="672" t="str">
        <f t="shared" si="5"/>
        <v>OK</v>
      </c>
      <c r="AJ18" s="672" t="str">
        <f t="shared" si="6"/>
        <v>OK</v>
      </c>
      <c r="AK18" s="672" t="str">
        <f t="shared" si="7"/>
        <v>OK</v>
      </c>
    </row>
    <row r="19" spans="1:39" ht="25.35" customHeight="1" thickTop="1" thickBot="1" x14ac:dyDescent="0.25">
      <c r="A19" s="1010">
        <v>6</v>
      </c>
      <c r="B19" s="676" t="s">
        <v>36</v>
      </c>
      <c r="C19" s="293" t="s">
        <v>241</v>
      </c>
      <c r="D19" s="245">
        <v>50000</v>
      </c>
      <c r="E19" s="245"/>
      <c r="F19" s="923">
        <f>D19+E19</f>
        <v>50000</v>
      </c>
      <c r="G19" s="1469"/>
      <c r="H19" s="920">
        <f>H23+H34+H35+H38</f>
        <v>40000</v>
      </c>
      <c r="I19" s="920">
        <f t="shared" ref="I19:M19" si="10">I23+I34+I35+I38</f>
        <v>0</v>
      </c>
      <c r="J19" s="920">
        <f t="shared" si="10"/>
        <v>0</v>
      </c>
      <c r="K19" s="920">
        <f t="shared" si="10"/>
        <v>0</v>
      </c>
      <c r="L19" s="920">
        <f t="shared" si="10"/>
        <v>0</v>
      </c>
      <c r="M19" s="920">
        <f t="shared" si="10"/>
        <v>0</v>
      </c>
      <c r="N19" s="1469"/>
      <c r="O19" s="923">
        <f t="shared" ref="O19:O37" si="11">F19-H19-0.9*I19-0.8*J19-0.6*K19-0.5*L19</f>
        <v>10000</v>
      </c>
      <c r="P19" s="1469"/>
      <c r="Q19" s="1469"/>
      <c r="R19" s="1469"/>
      <c r="S19" s="1469"/>
      <c r="T19" s="1469"/>
      <c r="U19" s="1469"/>
      <c r="V19" s="1469"/>
      <c r="W19" s="1193">
        <f t="shared" si="9"/>
        <v>0</v>
      </c>
      <c r="X19" s="1469"/>
      <c r="Y19" s="921">
        <f>Y23+Y34+Y35+Y38</f>
        <v>0</v>
      </c>
      <c r="Z19" s="1469"/>
      <c r="AA19" s="916">
        <v>0</v>
      </c>
      <c r="AB19" s="293" t="s">
        <v>241</v>
      </c>
      <c r="AC19" s="615"/>
      <c r="AD19" s="577"/>
      <c r="AE19" s="672" t="str">
        <f t="shared" si="1"/>
        <v>OK</v>
      </c>
      <c r="AF19" s="672" t="str">
        <f t="shared" si="2"/>
        <v>OK</v>
      </c>
      <c r="AG19" s="672" t="str">
        <f t="shared" si="3"/>
        <v>OK</v>
      </c>
      <c r="AH19" s="672" t="str">
        <f t="shared" si="4"/>
        <v>OK</v>
      </c>
      <c r="AI19" s="672" t="str">
        <f t="shared" si="5"/>
        <v>OK</v>
      </c>
      <c r="AJ19" s="672" t="str">
        <f t="shared" si="6"/>
        <v>OK</v>
      </c>
      <c r="AK19" s="672" t="str">
        <f t="shared" si="7"/>
        <v>OK</v>
      </c>
    </row>
    <row r="20" spans="1:39" s="678" customFormat="1" ht="25.35" customHeight="1" thickTop="1" thickBot="1" x14ac:dyDescent="0.25">
      <c r="A20" s="1010">
        <v>7</v>
      </c>
      <c r="B20" s="676" t="s">
        <v>1955</v>
      </c>
      <c r="C20" s="293" t="s">
        <v>241</v>
      </c>
      <c r="D20" s="245"/>
      <c r="E20" s="245"/>
      <c r="F20" s="923">
        <f t="shared" ref="F20:F22" si="12">D20+E20</f>
        <v>0</v>
      </c>
      <c r="G20" s="1469"/>
      <c r="H20" s="1469"/>
      <c r="I20" s="1469"/>
      <c r="J20" s="1469"/>
      <c r="K20" s="1469"/>
      <c r="L20" s="1469"/>
      <c r="M20" s="1469"/>
      <c r="N20" s="915"/>
      <c r="O20" s="923">
        <f t="shared" si="11"/>
        <v>0</v>
      </c>
      <c r="P20" s="1469"/>
      <c r="Q20" s="1469"/>
      <c r="R20" s="1469"/>
      <c r="S20" s="1469"/>
      <c r="T20" s="1469"/>
      <c r="U20" s="1469"/>
      <c r="V20" s="1469"/>
      <c r="W20" s="1193">
        <f t="shared" si="9"/>
        <v>0</v>
      </c>
      <c r="X20" s="1469"/>
      <c r="Y20" s="1469"/>
      <c r="Z20" s="1469"/>
      <c r="AA20" s="916"/>
      <c r="AB20" s="293" t="s">
        <v>241</v>
      </c>
      <c r="AC20" s="677"/>
      <c r="AD20" s="577"/>
      <c r="AE20" s="672" t="str">
        <f t="shared" si="1"/>
        <v>OK</v>
      </c>
      <c r="AF20" s="672" t="str">
        <f t="shared" si="2"/>
        <v>OK</v>
      </c>
      <c r="AG20" s="672" t="str">
        <f t="shared" si="3"/>
        <v>OK</v>
      </c>
      <c r="AH20" s="672" t="str">
        <f t="shared" si="4"/>
        <v>OK</v>
      </c>
      <c r="AI20" s="672" t="str">
        <f t="shared" si="5"/>
        <v>OK</v>
      </c>
      <c r="AJ20" s="672" t="str">
        <f t="shared" si="6"/>
        <v>OK</v>
      </c>
      <c r="AK20" s="672" t="str">
        <f t="shared" si="7"/>
        <v>OK</v>
      </c>
      <c r="AL20" s="332"/>
    </row>
    <row r="21" spans="1:39" s="678" customFormat="1" ht="25.35" customHeight="1" thickTop="1" thickBot="1" x14ac:dyDescent="0.25">
      <c r="A21" s="1010">
        <v>8</v>
      </c>
      <c r="B21" s="676" t="s">
        <v>1956</v>
      </c>
      <c r="C21" s="293" t="s">
        <v>241</v>
      </c>
      <c r="D21" s="245"/>
      <c r="E21" s="245"/>
      <c r="F21" s="923">
        <f t="shared" si="12"/>
        <v>0</v>
      </c>
      <c r="G21" s="1469"/>
      <c r="H21" s="1469"/>
      <c r="I21" s="1469"/>
      <c r="J21" s="1469"/>
      <c r="K21" s="1469"/>
      <c r="L21" s="1469"/>
      <c r="M21" s="1469"/>
      <c r="N21" s="915"/>
      <c r="O21" s="923">
        <f t="shared" si="11"/>
        <v>0</v>
      </c>
      <c r="P21" s="1469"/>
      <c r="Q21" s="1469"/>
      <c r="R21" s="1469"/>
      <c r="S21" s="1469"/>
      <c r="T21" s="1469"/>
      <c r="U21" s="1469"/>
      <c r="V21" s="1469"/>
      <c r="W21" s="1193">
        <f t="shared" si="9"/>
        <v>0</v>
      </c>
      <c r="X21" s="1469"/>
      <c r="Y21" s="1469"/>
      <c r="Z21" s="915"/>
      <c r="AA21" s="916"/>
      <c r="AB21" s="293" t="s">
        <v>241</v>
      </c>
      <c r="AC21" s="677"/>
      <c r="AD21" s="577"/>
      <c r="AE21" s="672" t="str">
        <f t="shared" si="1"/>
        <v>OK</v>
      </c>
      <c r="AF21" s="672" t="str">
        <f t="shared" si="2"/>
        <v>OK</v>
      </c>
      <c r="AG21" s="672" t="str">
        <f t="shared" si="3"/>
        <v>OK</v>
      </c>
      <c r="AH21" s="672" t="str">
        <f t="shared" si="4"/>
        <v>OK</v>
      </c>
      <c r="AI21" s="672" t="str">
        <f t="shared" si="5"/>
        <v>OK</v>
      </c>
      <c r="AJ21" s="672" t="str">
        <f t="shared" si="6"/>
        <v>OK</v>
      </c>
      <c r="AK21" s="672" t="str">
        <f t="shared" si="7"/>
        <v>OK</v>
      </c>
      <c r="AL21" s="332"/>
    </row>
    <row r="22" spans="1:39" s="678" customFormat="1" ht="25.35" customHeight="1" thickTop="1" thickBot="1" x14ac:dyDescent="0.25">
      <c r="A22" s="1010">
        <v>9</v>
      </c>
      <c r="B22" s="676" t="s">
        <v>1358</v>
      </c>
      <c r="C22" s="293" t="s">
        <v>241</v>
      </c>
      <c r="D22" s="245"/>
      <c r="E22" s="245"/>
      <c r="F22" s="923">
        <f t="shared" si="12"/>
        <v>0</v>
      </c>
      <c r="G22" s="1469"/>
      <c r="H22" s="1469"/>
      <c r="I22" s="1469"/>
      <c r="J22" s="1469"/>
      <c r="K22" s="1469"/>
      <c r="L22" s="1469"/>
      <c r="M22" s="1469"/>
      <c r="N22" s="915"/>
      <c r="O22" s="923">
        <f t="shared" si="11"/>
        <v>0</v>
      </c>
      <c r="P22" s="1469"/>
      <c r="Q22" s="1469"/>
      <c r="R22" s="1469"/>
      <c r="S22" s="1469"/>
      <c r="T22" s="1469"/>
      <c r="U22" s="1469"/>
      <c r="V22" s="1469"/>
      <c r="W22" s="923">
        <f t="shared" si="9"/>
        <v>0</v>
      </c>
      <c r="X22" s="1469"/>
      <c r="Y22" s="1469"/>
      <c r="Z22" s="915"/>
      <c r="AA22" s="916"/>
      <c r="AB22" s="293" t="s">
        <v>241</v>
      </c>
      <c r="AC22" s="677"/>
      <c r="AD22" s="577"/>
      <c r="AE22" s="672" t="str">
        <f t="shared" si="1"/>
        <v>OK</v>
      </c>
      <c r="AF22" s="672" t="str">
        <f t="shared" si="2"/>
        <v>OK</v>
      </c>
      <c r="AG22" s="672" t="str">
        <f t="shared" si="3"/>
        <v>OK</v>
      </c>
      <c r="AH22" s="672" t="str">
        <f t="shared" si="4"/>
        <v>OK</v>
      </c>
      <c r="AI22" s="672" t="str">
        <f t="shared" si="5"/>
        <v>OK</v>
      </c>
      <c r="AJ22" s="672" t="str">
        <f t="shared" si="6"/>
        <v>OK</v>
      </c>
      <c r="AK22" s="672" t="str">
        <f t="shared" si="7"/>
        <v>OK</v>
      </c>
      <c r="AL22" s="332"/>
    </row>
    <row r="23" spans="1:39" ht="55.35" customHeight="1" thickTop="1" thickBot="1" x14ac:dyDescent="0.25">
      <c r="A23" s="1010">
        <v>10</v>
      </c>
      <c r="B23" s="679" t="s">
        <v>1426</v>
      </c>
      <c r="C23" s="293"/>
      <c r="D23" s="920">
        <f>SUM(D24:D33)</f>
        <v>95100000</v>
      </c>
      <c r="E23" s="920">
        <f t="shared" ref="E23:AA23" si="13">SUM(E24:E33)</f>
        <v>0</v>
      </c>
      <c r="F23" s="921">
        <f t="shared" si="13"/>
        <v>95100000</v>
      </c>
      <c r="G23" s="921">
        <f t="shared" si="13"/>
        <v>0</v>
      </c>
      <c r="H23" s="920">
        <f t="shared" si="13"/>
        <v>40000</v>
      </c>
      <c r="I23" s="920">
        <f t="shared" si="13"/>
        <v>0</v>
      </c>
      <c r="J23" s="920">
        <f t="shared" si="13"/>
        <v>0</v>
      </c>
      <c r="K23" s="920">
        <f t="shared" si="13"/>
        <v>0</v>
      </c>
      <c r="L23" s="920">
        <f t="shared" si="13"/>
        <v>0</v>
      </c>
      <c r="M23" s="920">
        <f t="shared" si="13"/>
        <v>0</v>
      </c>
      <c r="N23" s="921">
        <f t="shared" si="13"/>
        <v>0</v>
      </c>
      <c r="O23" s="920">
        <f t="shared" si="13"/>
        <v>95010000</v>
      </c>
      <c r="P23" s="920">
        <f t="shared" si="13"/>
        <v>0</v>
      </c>
      <c r="Q23" s="920">
        <f t="shared" si="13"/>
        <v>0</v>
      </c>
      <c r="R23" s="920">
        <f t="shared" si="13"/>
        <v>0</v>
      </c>
      <c r="S23" s="920">
        <f t="shared" si="13"/>
        <v>0</v>
      </c>
      <c r="T23" s="920">
        <f t="shared" si="13"/>
        <v>0</v>
      </c>
      <c r="U23" s="920">
        <f t="shared" si="13"/>
        <v>95010000</v>
      </c>
      <c r="V23" s="920">
        <f t="shared" si="13"/>
        <v>0</v>
      </c>
      <c r="W23" s="920">
        <f>SUM(W24:W33)</f>
        <v>95010000</v>
      </c>
      <c r="X23" s="921">
        <f t="shared" si="13"/>
        <v>0</v>
      </c>
      <c r="Y23" s="921">
        <f t="shared" si="13"/>
        <v>0</v>
      </c>
      <c r="Z23" s="921">
        <f t="shared" si="13"/>
        <v>0</v>
      </c>
      <c r="AA23" s="921">
        <f t="shared" si="13"/>
        <v>0</v>
      </c>
      <c r="AB23" s="293"/>
      <c r="AC23" s="674"/>
      <c r="AD23" s="680"/>
      <c r="AE23" s="672" t="str">
        <f t="shared" si="1"/>
        <v>OK</v>
      </c>
      <c r="AF23" s="672" t="str">
        <f t="shared" si="2"/>
        <v>OK</v>
      </c>
      <c r="AG23" s="672" t="str">
        <f t="shared" si="3"/>
        <v>OK</v>
      </c>
      <c r="AH23" s="672" t="str">
        <f t="shared" si="4"/>
        <v>OK</v>
      </c>
      <c r="AI23" s="672" t="str">
        <f t="shared" si="5"/>
        <v>OK</v>
      </c>
      <c r="AJ23" s="672" t="str">
        <f t="shared" si="6"/>
        <v>OK</v>
      </c>
      <c r="AK23" s="672" t="str">
        <f t="shared" si="7"/>
        <v>OK</v>
      </c>
    </row>
    <row r="24" spans="1:39" ht="25.35" customHeight="1" thickTop="1" thickBot="1" x14ac:dyDescent="0.25">
      <c r="A24" s="1010">
        <v>11</v>
      </c>
      <c r="B24" s="617" t="s">
        <v>1427</v>
      </c>
      <c r="C24" s="293" t="s">
        <v>241</v>
      </c>
      <c r="D24" s="245">
        <v>94890000</v>
      </c>
      <c r="E24" s="245"/>
      <c r="F24" s="921">
        <f>D24+E24</f>
        <v>94890000</v>
      </c>
      <c r="G24" s="318"/>
      <c r="H24" s="318">
        <v>0</v>
      </c>
      <c r="I24" s="318"/>
      <c r="J24" s="318"/>
      <c r="K24" s="318"/>
      <c r="L24" s="318"/>
      <c r="M24" s="318"/>
      <c r="N24" s="318"/>
      <c r="O24" s="923">
        <f t="shared" si="11"/>
        <v>94890000</v>
      </c>
      <c r="P24" s="318"/>
      <c r="Q24" s="318"/>
      <c r="R24" s="318"/>
      <c r="S24" s="923">
        <f>P24+Q24+R24</f>
        <v>0</v>
      </c>
      <c r="T24" s="318"/>
      <c r="U24" s="923">
        <f>O24+S24+T24</f>
        <v>94890000</v>
      </c>
      <c r="V24" s="318"/>
      <c r="W24" s="923">
        <f t="shared" si="9"/>
        <v>94890000</v>
      </c>
      <c r="X24" s="318"/>
      <c r="Y24" s="318"/>
      <c r="Z24" s="318"/>
      <c r="AA24" s="245"/>
      <c r="AB24" s="293" t="s">
        <v>241</v>
      </c>
      <c r="AC24" s="615"/>
      <c r="AD24" s="577"/>
      <c r="AE24" s="672" t="str">
        <f t="shared" si="1"/>
        <v>OK</v>
      </c>
      <c r="AF24" s="672" t="str">
        <f t="shared" si="2"/>
        <v>OK</v>
      </c>
      <c r="AG24" s="672" t="str">
        <f t="shared" si="3"/>
        <v>OK</v>
      </c>
      <c r="AH24" s="672" t="str">
        <f t="shared" si="4"/>
        <v>OK</v>
      </c>
      <c r="AI24" s="672" t="str">
        <f t="shared" si="5"/>
        <v>OK</v>
      </c>
      <c r="AJ24" s="672" t="str">
        <f t="shared" si="6"/>
        <v>OK</v>
      </c>
      <c r="AK24" s="672" t="str">
        <f t="shared" si="7"/>
        <v>OK</v>
      </c>
      <c r="AL24" s="332" t="b">
        <f>AA24&gt;=W24*0.3</f>
        <v>0</v>
      </c>
    </row>
    <row r="25" spans="1:39" ht="25.35" customHeight="1" thickTop="1" thickBot="1" x14ac:dyDescent="0.25">
      <c r="A25" s="1010">
        <v>12</v>
      </c>
      <c r="B25" s="617" t="s">
        <v>1428</v>
      </c>
      <c r="C25" s="293" t="s">
        <v>241</v>
      </c>
      <c r="D25" s="245"/>
      <c r="E25" s="245"/>
      <c r="F25" s="921">
        <f t="shared" ref="F25:F29" si="14">D25+E25</f>
        <v>0</v>
      </c>
      <c r="G25" s="318"/>
      <c r="H25" s="318"/>
      <c r="I25" s="318"/>
      <c r="J25" s="318"/>
      <c r="K25" s="318"/>
      <c r="L25" s="318"/>
      <c r="M25" s="318"/>
      <c r="N25" s="318"/>
      <c r="O25" s="923">
        <f t="shared" si="11"/>
        <v>0</v>
      </c>
      <c r="P25" s="318"/>
      <c r="Q25" s="318"/>
      <c r="R25" s="318"/>
      <c r="S25" s="923">
        <f t="shared" ref="S25:S37" si="15">P25+Q25+R25</f>
        <v>0</v>
      </c>
      <c r="T25" s="318"/>
      <c r="U25" s="923">
        <f t="shared" ref="U25:U37" si="16">O25+S25+T25</f>
        <v>0</v>
      </c>
      <c r="V25" s="318"/>
      <c r="W25" s="923">
        <f t="shared" si="9"/>
        <v>0</v>
      </c>
      <c r="X25" s="318"/>
      <c r="Y25" s="318"/>
      <c r="Z25" s="318"/>
      <c r="AA25" s="245"/>
      <c r="AB25" s="293" t="s">
        <v>241</v>
      </c>
      <c r="AC25" s="615"/>
      <c r="AD25" s="577"/>
      <c r="AE25" s="672" t="str">
        <f t="shared" si="1"/>
        <v>OK</v>
      </c>
      <c r="AF25" s="672" t="str">
        <f t="shared" si="2"/>
        <v>OK</v>
      </c>
      <c r="AG25" s="672" t="str">
        <f t="shared" si="3"/>
        <v>OK</v>
      </c>
      <c r="AH25" s="672" t="str">
        <f t="shared" si="4"/>
        <v>OK</v>
      </c>
      <c r="AI25" s="672" t="str">
        <f t="shared" si="5"/>
        <v>OK</v>
      </c>
      <c r="AJ25" s="672" t="str">
        <f t="shared" si="6"/>
        <v>OK</v>
      </c>
      <c r="AK25" s="672" t="str">
        <f t="shared" si="7"/>
        <v>OK</v>
      </c>
      <c r="AL25" s="332" t="b">
        <f t="shared" ref="AL25" si="17">AA25&gt;=W25*0.3</f>
        <v>1</v>
      </c>
    </row>
    <row r="26" spans="1:39" ht="25.35" customHeight="1" thickTop="1" thickBot="1" x14ac:dyDescent="0.25">
      <c r="A26" s="1010">
        <v>13</v>
      </c>
      <c r="B26" s="617" t="s">
        <v>1429</v>
      </c>
      <c r="C26" s="293" t="s">
        <v>241</v>
      </c>
      <c r="D26" s="245">
        <v>20000</v>
      </c>
      <c r="E26" s="245"/>
      <c r="F26" s="921">
        <f t="shared" si="14"/>
        <v>20000</v>
      </c>
      <c r="G26" s="318"/>
      <c r="H26" s="318">
        <v>0</v>
      </c>
      <c r="I26" s="318"/>
      <c r="J26" s="318"/>
      <c r="K26" s="318"/>
      <c r="L26" s="318"/>
      <c r="M26" s="318"/>
      <c r="N26" s="318"/>
      <c r="O26" s="923">
        <f t="shared" si="11"/>
        <v>20000</v>
      </c>
      <c r="P26" s="318"/>
      <c r="Q26" s="318"/>
      <c r="R26" s="318"/>
      <c r="S26" s="923">
        <f t="shared" si="15"/>
        <v>0</v>
      </c>
      <c r="T26" s="318"/>
      <c r="U26" s="923">
        <f t="shared" si="16"/>
        <v>20000</v>
      </c>
      <c r="V26" s="318"/>
      <c r="W26" s="923">
        <f t="shared" si="9"/>
        <v>20000</v>
      </c>
      <c r="X26" s="318"/>
      <c r="Y26" s="318"/>
      <c r="Z26" s="318"/>
      <c r="AA26" s="245"/>
      <c r="AB26" s="293" t="s">
        <v>241</v>
      </c>
      <c r="AC26" s="615"/>
      <c r="AD26" s="577"/>
      <c r="AE26" s="672" t="str">
        <f t="shared" si="1"/>
        <v>OK</v>
      </c>
      <c r="AF26" s="672" t="str">
        <f t="shared" si="2"/>
        <v>OK</v>
      </c>
      <c r="AG26" s="672" t="str">
        <f t="shared" si="3"/>
        <v>OK</v>
      </c>
      <c r="AH26" s="672" t="str">
        <f t="shared" si="4"/>
        <v>OK</v>
      </c>
      <c r="AI26" s="672" t="str">
        <f t="shared" si="5"/>
        <v>OK</v>
      </c>
      <c r="AJ26" s="672" t="str">
        <f t="shared" si="6"/>
        <v>OK</v>
      </c>
      <c r="AK26" s="672" t="str">
        <f t="shared" si="7"/>
        <v>OK</v>
      </c>
      <c r="AL26" s="332" t="b">
        <f>AA26&gt;=W26*0.35</f>
        <v>0</v>
      </c>
    </row>
    <row r="27" spans="1:39" ht="25.35" customHeight="1" thickTop="1" thickBot="1" x14ac:dyDescent="0.25">
      <c r="A27" s="1010">
        <v>14</v>
      </c>
      <c r="B27" s="617" t="s">
        <v>1430</v>
      </c>
      <c r="C27" s="293" t="s">
        <v>241</v>
      </c>
      <c r="D27" s="245"/>
      <c r="E27" s="245"/>
      <c r="F27" s="921">
        <f t="shared" si="14"/>
        <v>0</v>
      </c>
      <c r="G27" s="318"/>
      <c r="H27" s="318"/>
      <c r="I27" s="318"/>
      <c r="J27" s="318"/>
      <c r="K27" s="318"/>
      <c r="L27" s="318"/>
      <c r="M27" s="318"/>
      <c r="N27" s="318"/>
      <c r="O27" s="923">
        <f t="shared" si="11"/>
        <v>0</v>
      </c>
      <c r="P27" s="318"/>
      <c r="Q27" s="318"/>
      <c r="R27" s="318"/>
      <c r="S27" s="923">
        <f t="shared" si="15"/>
        <v>0</v>
      </c>
      <c r="T27" s="318"/>
      <c r="U27" s="923">
        <f t="shared" si="16"/>
        <v>0</v>
      </c>
      <c r="V27" s="318"/>
      <c r="W27" s="923">
        <f t="shared" si="9"/>
        <v>0</v>
      </c>
      <c r="X27" s="318"/>
      <c r="Y27" s="318"/>
      <c r="Z27" s="318"/>
      <c r="AA27" s="245"/>
      <c r="AB27" s="293" t="s">
        <v>241</v>
      </c>
      <c r="AC27" s="615"/>
      <c r="AD27" s="577"/>
      <c r="AE27" s="672" t="str">
        <f t="shared" si="1"/>
        <v>OK</v>
      </c>
      <c r="AF27" s="672" t="str">
        <f t="shared" si="2"/>
        <v>OK</v>
      </c>
      <c r="AG27" s="672" t="str">
        <f t="shared" si="3"/>
        <v>OK</v>
      </c>
      <c r="AH27" s="672" t="str">
        <f t="shared" si="4"/>
        <v>OK</v>
      </c>
      <c r="AI27" s="672" t="str">
        <f t="shared" si="5"/>
        <v>OK</v>
      </c>
      <c r="AJ27" s="672" t="str">
        <f t="shared" si="6"/>
        <v>OK</v>
      </c>
      <c r="AK27" s="672" t="str">
        <f t="shared" si="7"/>
        <v>OK</v>
      </c>
      <c r="AL27" s="332" t="b">
        <f>AA27&gt;=W27*0.6</f>
        <v>1</v>
      </c>
    </row>
    <row r="28" spans="1:39" ht="20.85" customHeight="1" thickTop="1" thickBot="1" x14ac:dyDescent="0.25">
      <c r="A28" s="1010">
        <v>15</v>
      </c>
      <c r="B28" s="617" t="s">
        <v>1431</v>
      </c>
      <c r="C28" s="293" t="s">
        <v>241</v>
      </c>
      <c r="D28" s="245">
        <v>0</v>
      </c>
      <c r="E28" s="245"/>
      <c r="F28" s="921">
        <f t="shared" si="14"/>
        <v>0</v>
      </c>
      <c r="G28" s="318"/>
      <c r="H28" s="318">
        <v>0</v>
      </c>
      <c r="I28" s="318"/>
      <c r="J28" s="318"/>
      <c r="K28" s="318"/>
      <c r="L28" s="318"/>
      <c r="M28" s="318"/>
      <c r="N28" s="318"/>
      <c r="O28" s="923">
        <f t="shared" si="11"/>
        <v>0</v>
      </c>
      <c r="P28" s="318"/>
      <c r="Q28" s="318"/>
      <c r="R28" s="318"/>
      <c r="S28" s="923">
        <f t="shared" si="15"/>
        <v>0</v>
      </c>
      <c r="T28" s="318"/>
      <c r="U28" s="923">
        <f t="shared" si="16"/>
        <v>0</v>
      </c>
      <c r="V28" s="318"/>
      <c r="W28" s="923">
        <f t="shared" si="9"/>
        <v>0</v>
      </c>
      <c r="X28" s="318"/>
      <c r="Y28" s="318"/>
      <c r="Z28" s="318"/>
      <c r="AA28" s="245"/>
      <c r="AB28" s="293" t="s">
        <v>241</v>
      </c>
      <c r="AC28" s="615"/>
      <c r="AD28" s="577"/>
      <c r="AE28" s="672" t="str">
        <f t="shared" si="1"/>
        <v>OK</v>
      </c>
      <c r="AF28" s="672" t="str">
        <f t="shared" si="2"/>
        <v>OK</v>
      </c>
      <c r="AG28" s="672" t="str">
        <f t="shared" si="3"/>
        <v>OK</v>
      </c>
      <c r="AH28" s="672" t="str">
        <f t="shared" si="4"/>
        <v>OK</v>
      </c>
      <c r="AI28" s="672" t="str">
        <f t="shared" si="5"/>
        <v>OK</v>
      </c>
      <c r="AJ28" s="672" t="str">
        <f t="shared" si="6"/>
        <v>OK</v>
      </c>
      <c r="AK28" s="672" t="str">
        <f t="shared" si="7"/>
        <v>OK</v>
      </c>
      <c r="AL28" s="332" t="b">
        <f t="shared" ref="AL28:AL29" si="18">AA28&gt;=W28*0.6</f>
        <v>1</v>
      </c>
    </row>
    <row r="29" spans="1:39" ht="20.85" customHeight="1" thickTop="1" thickBot="1" x14ac:dyDescent="0.25">
      <c r="A29" s="1010">
        <v>16</v>
      </c>
      <c r="B29" s="617" t="s">
        <v>1735</v>
      </c>
      <c r="C29" s="293" t="s">
        <v>241</v>
      </c>
      <c r="D29" s="245"/>
      <c r="E29" s="245"/>
      <c r="F29" s="921">
        <f t="shared" si="14"/>
        <v>0</v>
      </c>
      <c r="G29" s="318"/>
      <c r="H29" s="318"/>
      <c r="I29" s="318"/>
      <c r="J29" s="318"/>
      <c r="K29" s="318"/>
      <c r="L29" s="318"/>
      <c r="M29" s="318"/>
      <c r="N29" s="318"/>
      <c r="O29" s="923">
        <f t="shared" si="11"/>
        <v>0</v>
      </c>
      <c r="P29" s="318"/>
      <c r="Q29" s="318"/>
      <c r="R29" s="318"/>
      <c r="S29" s="923">
        <f t="shared" si="15"/>
        <v>0</v>
      </c>
      <c r="T29" s="318"/>
      <c r="U29" s="923">
        <f t="shared" si="16"/>
        <v>0</v>
      </c>
      <c r="V29" s="318"/>
      <c r="W29" s="923">
        <f t="shared" si="9"/>
        <v>0</v>
      </c>
      <c r="X29" s="318"/>
      <c r="Y29" s="318"/>
      <c r="Z29" s="318"/>
      <c r="AA29" s="245"/>
      <c r="AB29" s="293" t="s">
        <v>241</v>
      </c>
      <c r="AC29" s="615"/>
      <c r="AD29" s="577"/>
      <c r="AE29" s="672" t="str">
        <f t="shared" si="1"/>
        <v>OK</v>
      </c>
      <c r="AF29" s="672" t="str">
        <f t="shared" si="2"/>
        <v>OK</v>
      </c>
      <c r="AG29" s="672" t="str">
        <f t="shared" si="3"/>
        <v>OK</v>
      </c>
      <c r="AH29" s="672" t="str">
        <f t="shared" si="4"/>
        <v>OK</v>
      </c>
      <c r="AI29" s="672" t="str">
        <f t="shared" si="5"/>
        <v>OK</v>
      </c>
      <c r="AJ29" s="672" t="str">
        <f t="shared" si="6"/>
        <v>OK</v>
      </c>
      <c r="AK29" s="672" t="str">
        <f t="shared" si="7"/>
        <v>OK</v>
      </c>
      <c r="AL29" s="332" t="b">
        <f t="shared" si="18"/>
        <v>1</v>
      </c>
    </row>
    <row r="30" spans="1:39" ht="25.35" customHeight="1" thickTop="1" thickBot="1" x14ac:dyDescent="0.25">
      <c r="A30" s="1473"/>
      <c r="B30" s="617" t="s">
        <v>1432</v>
      </c>
      <c r="C30" s="293" t="s">
        <v>241</v>
      </c>
      <c r="D30" s="245">
        <v>50000</v>
      </c>
      <c r="E30" s="245"/>
      <c r="F30" s="920">
        <f t="shared" ref="F30:F32" si="19">D30+E30</f>
        <v>50000</v>
      </c>
      <c r="G30" s="318"/>
      <c r="H30" s="318">
        <v>0</v>
      </c>
      <c r="I30" s="318"/>
      <c r="J30" s="318"/>
      <c r="K30" s="318"/>
      <c r="L30" s="318"/>
      <c r="M30" s="318"/>
      <c r="N30" s="318"/>
      <c r="O30" s="318"/>
      <c r="P30" s="318"/>
      <c r="Q30" s="318"/>
      <c r="R30" s="318"/>
      <c r="S30" s="318"/>
      <c r="T30" s="318"/>
      <c r="U30" s="318"/>
      <c r="V30" s="318"/>
      <c r="W30" s="318"/>
      <c r="X30" s="318"/>
      <c r="Y30" s="318"/>
      <c r="Z30" s="318"/>
      <c r="AA30" s="245"/>
      <c r="AB30" s="293" t="s">
        <v>241</v>
      </c>
      <c r="AC30" s="615"/>
      <c r="AD30" s="577"/>
      <c r="AE30" s="577"/>
      <c r="AF30" s="577"/>
      <c r="AG30" s="577"/>
      <c r="AH30" s="577"/>
      <c r="AI30" s="577"/>
      <c r="AJ30" s="577"/>
      <c r="AK30" s="577"/>
      <c r="AM30" s="577"/>
    </row>
    <row r="31" spans="1:39" ht="25.35" customHeight="1" thickTop="1" thickBot="1" x14ac:dyDescent="0.25">
      <c r="A31" s="1010">
        <v>17</v>
      </c>
      <c r="B31" s="617" t="s">
        <v>1433</v>
      </c>
      <c r="C31" s="293" t="s">
        <v>241</v>
      </c>
      <c r="D31" s="245">
        <v>0</v>
      </c>
      <c r="E31" s="245"/>
      <c r="F31" s="920">
        <f t="shared" si="19"/>
        <v>0</v>
      </c>
      <c r="G31" s="318"/>
      <c r="H31" s="318">
        <v>0</v>
      </c>
      <c r="I31" s="318"/>
      <c r="J31" s="318"/>
      <c r="K31" s="318"/>
      <c r="L31" s="318"/>
      <c r="M31" s="318"/>
      <c r="N31" s="318"/>
      <c r="O31" s="923">
        <f t="shared" si="11"/>
        <v>0</v>
      </c>
      <c r="P31" s="318"/>
      <c r="Q31" s="318"/>
      <c r="R31" s="318"/>
      <c r="S31" s="923">
        <f t="shared" si="15"/>
        <v>0</v>
      </c>
      <c r="T31" s="318"/>
      <c r="U31" s="923">
        <f t="shared" si="16"/>
        <v>0</v>
      </c>
      <c r="V31" s="318"/>
      <c r="W31" s="923">
        <f t="shared" si="9"/>
        <v>0</v>
      </c>
      <c r="X31" s="318"/>
      <c r="Y31" s="318"/>
      <c r="Z31" s="318"/>
      <c r="AA31" s="245"/>
      <c r="AB31" s="293" t="s">
        <v>241</v>
      </c>
      <c r="AC31" s="615"/>
      <c r="AD31" s="577"/>
      <c r="AE31" s="672" t="str">
        <f t="shared" ref="AE31:AE40" si="20">IF(D31&gt;=0,"OK","ERROR")</f>
        <v>OK</v>
      </c>
      <c r="AF31" s="672" t="str">
        <f t="shared" ref="AF31:AF40" si="21">IF(E31&lt;=0,"OK","ERROR")</f>
        <v>OK</v>
      </c>
      <c r="AG31" s="672" t="str">
        <f t="shared" ref="AG31:AG40" si="22">IF(MIN(F31:O31)&gt;=0,"OK","ERROR")</f>
        <v>OK</v>
      </c>
      <c r="AH31" s="672" t="str">
        <f t="shared" ref="AH31:AH40" si="23">IF(MAX(P31:S31)&lt;=0,"OK","ERROR")</f>
        <v>OK</v>
      </c>
      <c r="AI31" s="672" t="str">
        <f t="shared" ref="AI31:AI40" si="24">IF(MIN(T31:U31)&gt;=0,"OK","ERROR")</f>
        <v>OK</v>
      </c>
      <c r="AJ31" s="672" t="str">
        <f t="shared" ref="AJ31:AJ40" si="25">IF(V31&lt;=0,"OK","ERROR")</f>
        <v>OK</v>
      </c>
      <c r="AK31" s="672" t="str">
        <f t="shared" ref="AK31:AK40" si="26">IF(MIN(W31:AA31)&gt;=0,"OK","ERROR")</f>
        <v>OK</v>
      </c>
      <c r="AL31" s="332" t="b">
        <f>AA31&gt;=W31*0.75</f>
        <v>1</v>
      </c>
    </row>
    <row r="32" spans="1:39" ht="24.6" customHeight="1" thickTop="1" thickBot="1" x14ac:dyDescent="0.25">
      <c r="A32" s="1010">
        <v>18</v>
      </c>
      <c r="B32" s="617" t="s">
        <v>1434</v>
      </c>
      <c r="C32" s="293" t="s">
        <v>241</v>
      </c>
      <c r="D32" s="245">
        <v>140000</v>
      </c>
      <c r="E32" s="245"/>
      <c r="F32" s="920">
        <f t="shared" si="19"/>
        <v>140000</v>
      </c>
      <c r="G32" s="318"/>
      <c r="H32" s="318">
        <v>40000</v>
      </c>
      <c r="I32" s="318"/>
      <c r="J32" s="318"/>
      <c r="K32" s="318"/>
      <c r="L32" s="318"/>
      <c r="M32" s="318"/>
      <c r="N32" s="318"/>
      <c r="O32" s="923">
        <f t="shared" si="11"/>
        <v>100000</v>
      </c>
      <c r="P32" s="318"/>
      <c r="Q32" s="318"/>
      <c r="R32" s="318"/>
      <c r="S32" s="923">
        <f t="shared" si="15"/>
        <v>0</v>
      </c>
      <c r="T32" s="318"/>
      <c r="U32" s="923">
        <f t="shared" si="16"/>
        <v>100000</v>
      </c>
      <c r="V32" s="318"/>
      <c r="W32" s="923">
        <f t="shared" si="9"/>
        <v>100000</v>
      </c>
      <c r="X32" s="318"/>
      <c r="Y32" s="318"/>
      <c r="Z32" s="318"/>
      <c r="AA32" s="245"/>
      <c r="AB32" s="293" t="s">
        <v>241</v>
      </c>
      <c r="AC32" s="615"/>
      <c r="AD32" s="577"/>
      <c r="AE32" s="672" t="str">
        <f t="shared" si="20"/>
        <v>OK</v>
      </c>
      <c r="AF32" s="672" t="str">
        <f t="shared" si="21"/>
        <v>OK</v>
      </c>
      <c r="AG32" s="672" t="str">
        <f t="shared" si="22"/>
        <v>OK</v>
      </c>
      <c r="AH32" s="672" t="str">
        <f t="shared" si="23"/>
        <v>OK</v>
      </c>
      <c r="AI32" s="672" t="str">
        <f t="shared" si="24"/>
        <v>OK</v>
      </c>
      <c r="AJ32" s="672" t="str">
        <f t="shared" si="25"/>
        <v>OK</v>
      </c>
      <c r="AK32" s="672" t="str">
        <f t="shared" si="26"/>
        <v>OK</v>
      </c>
      <c r="AL32" s="332" t="b">
        <f>AA32&gt;=W32*0.85</f>
        <v>0</v>
      </c>
    </row>
    <row r="33" spans="1:38" ht="24.6" customHeight="1" thickTop="1" thickBot="1" x14ac:dyDescent="0.25">
      <c r="A33" s="1010">
        <v>19</v>
      </c>
      <c r="B33" s="619" t="s">
        <v>1435</v>
      </c>
      <c r="C33" s="293" t="s">
        <v>241</v>
      </c>
      <c r="D33" s="245">
        <v>0</v>
      </c>
      <c r="E33" s="245"/>
      <c r="F33" s="920">
        <f>D33+E33</f>
        <v>0</v>
      </c>
      <c r="G33" s="318"/>
      <c r="H33" s="318"/>
      <c r="I33" s="318"/>
      <c r="J33" s="318"/>
      <c r="K33" s="318"/>
      <c r="L33" s="318"/>
      <c r="M33" s="318"/>
      <c r="N33" s="318"/>
      <c r="O33" s="923">
        <f t="shared" si="11"/>
        <v>0</v>
      </c>
      <c r="P33" s="318"/>
      <c r="Q33" s="318"/>
      <c r="R33" s="318"/>
      <c r="S33" s="923">
        <f t="shared" si="15"/>
        <v>0</v>
      </c>
      <c r="T33" s="318"/>
      <c r="U33" s="923">
        <f t="shared" si="16"/>
        <v>0</v>
      </c>
      <c r="V33" s="318"/>
      <c r="W33" s="923">
        <f t="shared" si="9"/>
        <v>0</v>
      </c>
      <c r="X33" s="318"/>
      <c r="Y33" s="318"/>
      <c r="Z33" s="318"/>
      <c r="AA33" s="245"/>
      <c r="AB33" s="293" t="s">
        <v>241</v>
      </c>
      <c r="AC33" s="615"/>
      <c r="AD33" s="577"/>
      <c r="AE33" s="672" t="str">
        <f t="shared" si="20"/>
        <v>OK</v>
      </c>
      <c r="AF33" s="672" t="str">
        <f t="shared" si="21"/>
        <v>OK</v>
      </c>
      <c r="AG33" s="672" t="str">
        <f t="shared" si="22"/>
        <v>OK</v>
      </c>
      <c r="AH33" s="672" t="str">
        <f t="shared" si="23"/>
        <v>OK</v>
      </c>
      <c r="AI33" s="672" t="str">
        <f t="shared" si="24"/>
        <v>OK</v>
      </c>
      <c r="AJ33" s="672" t="str">
        <f t="shared" si="25"/>
        <v>OK</v>
      </c>
      <c r="AK33" s="672" t="str">
        <f t="shared" si="26"/>
        <v>OK</v>
      </c>
      <c r="AL33" s="332" t="b">
        <f>AA33&gt;=W33*1.1</f>
        <v>1</v>
      </c>
    </row>
    <row r="34" spans="1:38" ht="63.75" customHeight="1" thickTop="1" thickBot="1" x14ac:dyDescent="0.25">
      <c r="A34" s="1010">
        <v>20</v>
      </c>
      <c r="B34" s="696" t="s">
        <v>1409</v>
      </c>
      <c r="C34" s="293" t="s">
        <v>241</v>
      </c>
      <c r="D34" s="245"/>
      <c r="E34" s="245"/>
      <c r="F34" s="920">
        <f>D34+E34</f>
        <v>0</v>
      </c>
      <c r="G34" s="318"/>
      <c r="H34" s="318"/>
      <c r="I34" s="318"/>
      <c r="J34" s="318"/>
      <c r="K34" s="318"/>
      <c r="L34" s="318"/>
      <c r="M34" s="318"/>
      <c r="N34" s="318"/>
      <c r="O34" s="923">
        <f t="shared" si="11"/>
        <v>0</v>
      </c>
      <c r="P34" s="318"/>
      <c r="Q34" s="318"/>
      <c r="R34" s="318"/>
      <c r="S34" s="923">
        <f t="shared" si="15"/>
        <v>0</v>
      </c>
      <c r="T34" s="318"/>
      <c r="U34" s="923">
        <f t="shared" si="16"/>
        <v>0</v>
      </c>
      <c r="V34" s="318"/>
      <c r="W34" s="923">
        <f>U34+V34</f>
        <v>0</v>
      </c>
      <c r="X34" s="318"/>
      <c r="Y34" s="318"/>
      <c r="Z34" s="318"/>
      <c r="AA34" s="245"/>
      <c r="AB34" s="293" t="s">
        <v>241</v>
      </c>
      <c r="AC34" s="615"/>
      <c r="AD34" s="577"/>
      <c r="AE34" s="672" t="str">
        <f t="shared" si="20"/>
        <v>OK</v>
      </c>
      <c r="AF34" s="672" t="str">
        <f t="shared" si="21"/>
        <v>OK</v>
      </c>
      <c r="AG34" s="672" t="str">
        <f t="shared" si="22"/>
        <v>OK</v>
      </c>
      <c r="AH34" s="672" t="str">
        <f t="shared" si="23"/>
        <v>OK</v>
      </c>
      <c r="AI34" s="672" t="str">
        <f t="shared" si="24"/>
        <v>OK</v>
      </c>
      <c r="AJ34" s="672" t="str">
        <f t="shared" si="25"/>
        <v>OK</v>
      </c>
      <c r="AK34" s="672" t="str">
        <f t="shared" si="26"/>
        <v>OK</v>
      </c>
      <c r="AL34" s="616"/>
    </row>
    <row r="35" spans="1:38" ht="45.75" customHeight="1" thickTop="1" thickBot="1" x14ac:dyDescent="0.25">
      <c r="A35" s="1010">
        <v>21</v>
      </c>
      <c r="B35" s="697" t="s">
        <v>1408</v>
      </c>
      <c r="C35" s="293"/>
      <c r="D35" s="921">
        <f>D36+D37</f>
        <v>0</v>
      </c>
      <c r="E35" s="921">
        <f t="shared" ref="E35:AA35" si="27">E36+E37</f>
        <v>0</v>
      </c>
      <c r="F35" s="921">
        <f t="shared" si="27"/>
        <v>0</v>
      </c>
      <c r="G35" s="921">
        <f t="shared" si="27"/>
        <v>0</v>
      </c>
      <c r="H35" s="921">
        <f t="shared" si="27"/>
        <v>0</v>
      </c>
      <c r="I35" s="921">
        <f t="shared" si="27"/>
        <v>0</v>
      </c>
      <c r="J35" s="921">
        <f t="shared" si="27"/>
        <v>0</v>
      </c>
      <c r="K35" s="921">
        <f t="shared" si="27"/>
        <v>0</v>
      </c>
      <c r="L35" s="921">
        <f t="shared" si="27"/>
        <v>0</v>
      </c>
      <c r="M35" s="921">
        <f t="shared" si="27"/>
        <v>0</v>
      </c>
      <c r="N35" s="921">
        <f t="shared" si="27"/>
        <v>0</v>
      </c>
      <c r="O35" s="921">
        <f>O36+O37</f>
        <v>0</v>
      </c>
      <c r="P35" s="921">
        <f t="shared" si="27"/>
        <v>0</v>
      </c>
      <c r="Q35" s="921">
        <f t="shared" si="27"/>
        <v>0</v>
      </c>
      <c r="R35" s="921">
        <f t="shared" si="27"/>
        <v>0</v>
      </c>
      <c r="S35" s="923">
        <f t="shared" si="15"/>
        <v>0</v>
      </c>
      <c r="T35" s="921">
        <f t="shared" si="27"/>
        <v>0</v>
      </c>
      <c r="U35" s="921">
        <f>U36+U37</f>
        <v>0</v>
      </c>
      <c r="V35" s="921">
        <f t="shared" si="27"/>
        <v>0</v>
      </c>
      <c r="W35" s="921">
        <f t="shared" si="27"/>
        <v>0</v>
      </c>
      <c r="X35" s="921">
        <f t="shared" si="27"/>
        <v>0</v>
      </c>
      <c r="Y35" s="921">
        <f t="shared" si="27"/>
        <v>0</v>
      </c>
      <c r="Z35" s="921">
        <f t="shared" si="27"/>
        <v>0</v>
      </c>
      <c r="AA35" s="921">
        <f t="shared" si="27"/>
        <v>0</v>
      </c>
      <c r="AB35" s="293"/>
      <c r="AC35" s="615"/>
      <c r="AD35" s="577"/>
      <c r="AE35" s="672" t="str">
        <f t="shared" si="20"/>
        <v>OK</v>
      </c>
      <c r="AF35" s="672" t="str">
        <f t="shared" si="21"/>
        <v>OK</v>
      </c>
      <c r="AG35" s="672" t="str">
        <f t="shared" si="22"/>
        <v>OK</v>
      </c>
      <c r="AH35" s="672" t="str">
        <f t="shared" si="23"/>
        <v>OK</v>
      </c>
      <c r="AI35" s="672" t="str">
        <f t="shared" si="24"/>
        <v>OK</v>
      </c>
      <c r="AJ35" s="672" t="str">
        <f t="shared" si="25"/>
        <v>OK</v>
      </c>
      <c r="AK35" s="672" t="str">
        <f t="shared" si="26"/>
        <v>OK</v>
      </c>
      <c r="AL35" s="616"/>
    </row>
    <row r="36" spans="1:38" ht="24.6" customHeight="1" thickTop="1" thickBot="1" x14ac:dyDescent="0.25">
      <c r="A36" s="1010">
        <v>22</v>
      </c>
      <c r="B36" s="619" t="s">
        <v>1407</v>
      </c>
      <c r="C36" s="293" t="s">
        <v>241</v>
      </c>
      <c r="D36" s="245"/>
      <c r="E36" s="245"/>
      <c r="F36" s="920">
        <f>D36+E36</f>
        <v>0</v>
      </c>
      <c r="G36" s="318"/>
      <c r="H36" s="318"/>
      <c r="I36" s="318"/>
      <c r="J36" s="318"/>
      <c r="K36" s="318"/>
      <c r="L36" s="318"/>
      <c r="M36" s="318"/>
      <c r="N36" s="318"/>
      <c r="O36" s="923">
        <f t="shared" si="11"/>
        <v>0</v>
      </c>
      <c r="P36" s="318"/>
      <c r="Q36" s="318"/>
      <c r="R36" s="318"/>
      <c r="S36" s="923">
        <f t="shared" si="15"/>
        <v>0</v>
      </c>
      <c r="T36" s="318"/>
      <c r="U36" s="923">
        <f t="shared" si="16"/>
        <v>0</v>
      </c>
      <c r="V36" s="318"/>
      <c r="W36" s="923">
        <f>U36+V36</f>
        <v>0</v>
      </c>
      <c r="X36" s="318"/>
      <c r="Y36" s="318"/>
      <c r="Z36" s="318"/>
      <c r="AA36" s="245"/>
      <c r="AB36" s="293" t="s">
        <v>241</v>
      </c>
      <c r="AC36" s="615"/>
      <c r="AD36" s="577"/>
      <c r="AE36" s="672" t="str">
        <f t="shared" si="20"/>
        <v>OK</v>
      </c>
      <c r="AF36" s="672" t="str">
        <f t="shared" si="21"/>
        <v>OK</v>
      </c>
      <c r="AG36" s="672" t="str">
        <f t="shared" si="22"/>
        <v>OK</v>
      </c>
      <c r="AH36" s="672" t="str">
        <f t="shared" si="23"/>
        <v>OK</v>
      </c>
      <c r="AI36" s="672" t="str">
        <f t="shared" si="24"/>
        <v>OK</v>
      </c>
      <c r="AJ36" s="672" t="str">
        <f t="shared" si="25"/>
        <v>OK</v>
      </c>
      <c r="AK36" s="672" t="str">
        <f t="shared" si="26"/>
        <v>OK</v>
      </c>
      <c r="AL36" s="332" t="b">
        <f>AA36=W36*1.5</f>
        <v>1</v>
      </c>
    </row>
    <row r="37" spans="1:38" ht="24.6" customHeight="1" thickTop="1" thickBot="1" x14ac:dyDescent="0.25">
      <c r="A37" s="1010">
        <v>23</v>
      </c>
      <c r="B37" s="619">
        <v>1.5</v>
      </c>
      <c r="C37" s="293" t="s">
        <v>241</v>
      </c>
      <c r="D37" s="245"/>
      <c r="E37" s="245"/>
      <c r="F37" s="920">
        <f>D37+E37</f>
        <v>0</v>
      </c>
      <c r="G37" s="318"/>
      <c r="H37" s="318"/>
      <c r="I37" s="318"/>
      <c r="J37" s="318"/>
      <c r="K37" s="318"/>
      <c r="L37" s="318"/>
      <c r="M37" s="318"/>
      <c r="N37" s="318"/>
      <c r="O37" s="923">
        <f t="shared" si="11"/>
        <v>0</v>
      </c>
      <c r="P37" s="318"/>
      <c r="Q37" s="318"/>
      <c r="R37" s="318"/>
      <c r="S37" s="923">
        <f t="shared" si="15"/>
        <v>0</v>
      </c>
      <c r="T37" s="318"/>
      <c r="U37" s="923">
        <f t="shared" si="16"/>
        <v>0</v>
      </c>
      <c r="V37" s="318"/>
      <c r="W37" s="923">
        <f>U37+V37</f>
        <v>0</v>
      </c>
      <c r="X37" s="318"/>
      <c r="Y37" s="318"/>
      <c r="Z37" s="318"/>
      <c r="AA37" s="245"/>
      <c r="AB37" s="293" t="s">
        <v>241</v>
      </c>
      <c r="AC37" s="615"/>
      <c r="AD37" s="577"/>
      <c r="AE37" s="672" t="str">
        <f t="shared" si="20"/>
        <v>OK</v>
      </c>
      <c r="AF37" s="672" t="str">
        <f t="shared" si="21"/>
        <v>OK</v>
      </c>
      <c r="AG37" s="672" t="str">
        <f t="shared" si="22"/>
        <v>OK</v>
      </c>
      <c r="AH37" s="672" t="str">
        <f t="shared" si="23"/>
        <v>OK</v>
      </c>
      <c r="AI37" s="672" t="str">
        <f t="shared" si="24"/>
        <v>OK</v>
      </c>
      <c r="AJ37" s="672" t="str">
        <f t="shared" si="25"/>
        <v>OK</v>
      </c>
      <c r="AK37" s="672" t="str">
        <f t="shared" si="26"/>
        <v>OK</v>
      </c>
      <c r="AL37" s="332" t="b">
        <f>AA37=W37</f>
        <v>1</v>
      </c>
    </row>
    <row r="38" spans="1:38" ht="39" customHeight="1" thickTop="1" thickBot="1" x14ac:dyDescent="0.25">
      <c r="A38" s="1010">
        <v>24</v>
      </c>
      <c r="B38" s="681" t="s">
        <v>1436</v>
      </c>
      <c r="C38" s="293"/>
      <c r="D38" s="921">
        <f>D39+D40</f>
        <v>0</v>
      </c>
      <c r="E38" s="921">
        <f t="shared" ref="E38:AA38" si="28">E39+E40</f>
        <v>0</v>
      </c>
      <c r="F38" s="921">
        <f>F39+F40</f>
        <v>0</v>
      </c>
      <c r="G38" s="921">
        <f t="shared" si="28"/>
        <v>0</v>
      </c>
      <c r="H38" s="921">
        <f t="shared" si="28"/>
        <v>0</v>
      </c>
      <c r="I38" s="921">
        <f t="shared" si="28"/>
        <v>0</v>
      </c>
      <c r="J38" s="921">
        <f t="shared" si="28"/>
        <v>0</v>
      </c>
      <c r="K38" s="921">
        <f t="shared" si="28"/>
        <v>0</v>
      </c>
      <c r="L38" s="921">
        <f t="shared" si="28"/>
        <v>0</v>
      </c>
      <c r="M38" s="921">
        <f t="shared" si="28"/>
        <v>0</v>
      </c>
      <c r="N38" s="921">
        <f t="shared" si="28"/>
        <v>0</v>
      </c>
      <c r="O38" s="921">
        <f t="shared" si="28"/>
        <v>0</v>
      </c>
      <c r="P38" s="921">
        <f t="shared" si="28"/>
        <v>0</v>
      </c>
      <c r="Q38" s="921">
        <f t="shared" si="28"/>
        <v>0</v>
      </c>
      <c r="R38" s="921">
        <f t="shared" si="28"/>
        <v>0</v>
      </c>
      <c r="S38" s="921">
        <f t="shared" si="28"/>
        <v>0</v>
      </c>
      <c r="T38" s="921">
        <f t="shared" si="28"/>
        <v>0</v>
      </c>
      <c r="U38" s="921">
        <f t="shared" si="28"/>
        <v>0</v>
      </c>
      <c r="V38" s="921">
        <f t="shared" si="28"/>
        <v>0</v>
      </c>
      <c r="W38" s="921">
        <f t="shared" si="28"/>
        <v>0</v>
      </c>
      <c r="X38" s="921">
        <f t="shared" si="28"/>
        <v>0</v>
      </c>
      <c r="Y38" s="921">
        <f t="shared" si="28"/>
        <v>0</v>
      </c>
      <c r="Z38" s="921">
        <f t="shared" si="28"/>
        <v>0</v>
      </c>
      <c r="AA38" s="921">
        <f t="shared" si="28"/>
        <v>0</v>
      </c>
      <c r="AB38" s="293"/>
      <c r="AC38" s="615"/>
      <c r="AD38" s="577"/>
      <c r="AE38" s="672" t="str">
        <f t="shared" si="20"/>
        <v>OK</v>
      </c>
      <c r="AF38" s="672" t="str">
        <f t="shared" si="21"/>
        <v>OK</v>
      </c>
      <c r="AG38" s="672" t="str">
        <f t="shared" si="22"/>
        <v>OK</v>
      </c>
      <c r="AH38" s="672" t="str">
        <f t="shared" si="23"/>
        <v>OK</v>
      </c>
      <c r="AI38" s="672" t="str">
        <f t="shared" si="24"/>
        <v>OK</v>
      </c>
      <c r="AJ38" s="672" t="str">
        <f t="shared" si="25"/>
        <v>OK</v>
      </c>
      <c r="AK38" s="672" t="str">
        <f t="shared" si="26"/>
        <v>OK</v>
      </c>
      <c r="AL38" s="616"/>
    </row>
    <row r="39" spans="1:38" ht="24.6" customHeight="1" thickTop="1" thickBot="1" x14ac:dyDescent="0.25">
      <c r="A39" s="1010">
        <v>25</v>
      </c>
      <c r="B39" s="619">
        <v>1</v>
      </c>
      <c r="C39" s="293" t="s">
        <v>241</v>
      </c>
      <c r="D39" s="245"/>
      <c r="E39" s="245"/>
      <c r="F39" s="915"/>
      <c r="G39" s="915"/>
      <c r="H39" s="915"/>
      <c r="I39" s="915"/>
      <c r="J39" s="915"/>
      <c r="K39" s="915"/>
      <c r="L39" s="915"/>
      <c r="M39" s="915"/>
      <c r="N39" s="915"/>
      <c r="O39" s="915"/>
      <c r="P39" s="1472"/>
      <c r="Q39" s="1195"/>
      <c r="R39" s="1195"/>
      <c r="S39" s="318"/>
      <c r="T39" s="1195"/>
      <c r="U39" s="318"/>
      <c r="V39" s="1195"/>
      <c r="W39" s="318"/>
      <c r="X39" s="915"/>
      <c r="Y39" s="915"/>
      <c r="Z39" s="915"/>
      <c r="AA39" s="915"/>
      <c r="AB39" s="293" t="s">
        <v>241</v>
      </c>
      <c r="AC39" s="615"/>
      <c r="AD39" s="577"/>
      <c r="AE39" s="672" t="str">
        <f t="shared" si="20"/>
        <v>OK</v>
      </c>
      <c r="AF39" s="672" t="str">
        <f t="shared" si="21"/>
        <v>OK</v>
      </c>
      <c r="AG39" s="672" t="str">
        <f t="shared" si="22"/>
        <v>OK</v>
      </c>
      <c r="AH39" s="672" t="str">
        <f t="shared" si="23"/>
        <v>OK</v>
      </c>
      <c r="AI39" s="672" t="str">
        <f t="shared" si="24"/>
        <v>OK</v>
      </c>
      <c r="AJ39" s="672" t="str">
        <f t="shared" si="25"/>
        <v>OK</v>
      </c>
      <c r="AK39" s="672" t="str">
        <f t="shared" si="26"/>
        <v>OK</v>
      </c>
      <c r="AL39" s="332" t="b">
        <f>AA39=W39*1.5</f>
        <v>1</v>
      </c>
    </row>
    <row r="40" spans="1:38" ht="24.6" customHeight="1" thickTop="1" thickBot="1" x14ac:dyDescent="0.25">
      <c r="A40" s="1010">
        <v>26</v>
      </c>
      <c r="B40" s="619">
        <v>1.5</v>
      </c>
      <c r="C40" s="293" t="s">
        <v>241</v>
      </c>
      <c r="D40" s="245"/>
      <c r="E40" s="245"/>
      <c r="F40" s="920">
        <f>D40+E40</f>
        <v>0</v>
      </c>
      <c r="G40" s="318"/>
      <c r="H40" s="318"/>
      <c r="I40" s="318"/>
      <c r="J40" s="318"/>
      <c r="K40" s="318"/>
      <c r="L40" s="318"/>
      <c r="M40" s="318"/>
      <c r="N40" s="318"/>
      <c r="O40" s="923">
        <f t="shared" ref="O40" si="29">F40-H40-0.9*I40-0.8*J40-0.6*K40-0.5*L40</f>
        <v>0</v>
      </c>
      <c r="P40" s="318"/>
      <c r="Q40" s="318"/>
      <c r="R40" s="318"/>
      <c r="S40" s="923">
        <f t="shared" ref="S40" si="30">P40+Q40+R40</f>
        <v>0</v>
      </c>
      <c r="T40" s="318"/>
      <c r="U40" s="923">
        <f t="shared" ref="U40" si="31">O40+S40+T40</f>
        <v>0</v>
      </c>
      <c r="V40" s="318"/>
      <c r="W40" s="923">
        <f>U40+V40</f>
        <v>0</v>
      </c>
      <c r="X40" s="318"/>
      <c r="Y40" s="318"/>
      <c r="Z40" s="318"/>
      <c r="AA40" s="245"/>
      <c r="AB40" s="293" t="s">
        <v>241</v>
      </c>
      <c r="AC40" s="615"/>
      <c r="AD40" s="577"/>
      <c r="AE40" s="672" t="str">
        <f t="shared" si="20"/>
        <v>OK</v>
      </c>
      <c r="AF40" s="672" t="str">
        <f t="shared" si="21"/>
        <v>OK</v>
      </c>
      <c r="AG40" s="672" t="str">
        <f t="shared" si="22"/>
        <v>OK</v>
      </c>
      <c r="AH40" s="672" t="str">
        <f t="shared" si="23"/>
        <v>OK</v>
      </c>
      <c r="AI40" s="672" t="str">
        <f t="shared" si="24"/>
        <v>OK</v>
      </c>
      <c r="AJ40" s="672" t="str">
        <f t="shared" si="25"/>
        <v>OK</v>
      </c>
      <c r="AK40" s="672" t="str">
        <f t="shared" si="26"/>
        <v>OK</v>
      </c>
      <c r="AL40" s="332" t="b">
        <f>AA40=W40</f>
        <v>1</v>
      </c>
    </row>
    <row r="41" spans="1:38" ht="7.5" customHeight="1" thickTop="1" x14ac:dyDescent="0.2">
      <c r="A41" s="554"/>
      <c r="B41" s="682"/>
      <c r="C41" s="648"/>
      <c r="D41" s="625"/>
      <c r="E41" s="625"/>
      <c r="F41" s="625"/>
      <c r="G41" s="625"/>
      <c r="H41" s="625"/>
      <c r="I41" s="625"/>
      <c r="J41" s="625"/>
      <c r="K41" s="625"/>
      <c r="L41" s="625"/>
      <c r="M41" s="625"/>
      <c r="N41" s="625"/>
      <c r="O41" s="625"/>
      <c r="P41" s="625"/>
      <c r="Q41" s="625"/>
      <c r="R41" s="625"/>
      <c r="S41" s="625"/>
      <c r="T41" s="625"/>
      <c r="U41" s="625"/>
      <c r="V41" s="625"/>
      <c r="W41" s="625"/>
      <c r="X41" s="625"/>
      <c r="Y41" s="625"/>
      <c r="Z41" s="625"/>
      <c r="AA41" s="625"/>
      <c r="AB41" s="648"/>
      <c r="AC41" s="680"/>
      <c r="AL41" s="616"/>
    </row>
    <row r="42" spans="1:38" ht="18.75" customHeight="1" x14ac:dyDescent="0.2">
      <c r="A42" s="442"/>
      <c r="B42" s="683" t="str">
        <f>"Version: "&amp;D49</f>
        <v>Version: 2.01.E0</v>
      </c>
      <c r="C42" s="442"/>
      <c r="D42" s="442"/>
      <c r="E42" s="442"/>
      <c r="F42" s="442"/>
      <c r="G42" s="442"/>
      <c r="H42" s="442"/>
      <c r="I42" s="442"/>
      <c r="J42" s="442"/>
      <c r="K42" s="442"/>
      <c r="L42" s="442"/>
      <c r="M42" s="442"/>
      <c r="N42" s="442"/>
      <c r="O42" s="442"/>
      <c r="P42" s="442"/>
      <c r="Q42" s="442"/>
      <c r="R42" s="442"/>
      <c r="S42" s="442"/>
      <c r="T42" s="442"/>
      <c r="U42" s="442"/>
      <c r="V42" s="442"/>
      <c r="W42" s="442"/>
      <c r="X42" s="442"/>
      <c r="Y42" s="442"/>
      <c r="Z42" s="442"/>
      <c r="AA42" s="442"/>
      <c r="AB42" s="685" t="s">
        <v>24</v>
      </c>
      <c r="AC42" s="615"/>
      <c r="AL42" s="616"/>
    </row>
    <row r="43" spans="1:38" ht="18.75" customHeight="1" x14ac:dyDescent="0.2">
      <c r="A43" s="442"/>
      <c r="B43" s="442"/>
      <c r="C43" s="442"/>
      <c r="D43" s="442"/>
      <c r="E43" s="442"/>
      <c r="AC43" s="615"/>
      <c r="AL43" s="616"/>
    </row>
    <row r="44" spans="1:38" ht="18.75" customHeight="1" x14ac:dyDescent="0.2">
      <c r="AL44" s="616"/>
    </row>
    <row r="45" spans="1:38" ht="18.75" customHeight="1" x14ac:dyDescent="0.2">
      <c r="AL45" s="616"/>
    </row>
    <row r="46" spans="1:38" ht="18.75" customHeight="1" x14ac:dyDescent="0.2">
      <c r="B46" s="608"/>
      <c r="C46" s="685" t="s">
        <v>24</v>
      </c>
      <c r="D46" s="686" t="str">
        <f>AA2</f>
        <v>XXXXXX</v>
      </c>
      <c r="AL46" s="616"/>
    </row>
    <row r="47" spans="1:38" ht="18.75" customHeight="1" x14ac:dyDescent="0.2">
      <c r="B47" s="623"/>
      <c r="D47" s="687" t="str">
        <f>AA1</f>
        <v>P_CRSABIS_11</v>
      </c>
      <c r="G47" s="442"/>
      <c r="N47" s="442"/>
      <c r="X47" s="442"/>
      <c r="Y47" s="442"/>
      <c r="Z47" s="442"/>
      <c r="AL47" s="616"/>
    </row>
    <row r="48" spans="1:38" ht="18.75" customHeight="1" x14ac:dyDescent="0.2">
      <c r="B48" s="623"/>
      <c r="D48" s="688" t="str">
        <f>AA3</f>
        <v>DD.MM.YYYY</v>
      </c>
      <c r="X48" s="684"/>
      <c r="Y48" s="684"/>
      <c r="Z48" s="684"/>
      <c r="AL48" s="616"/>
    </row>
    <row r="49" spans="2:38" ht="18.75" customHeight="1" x14ac:dyDescent="0.2">
      <c r="B49" s="689"/>
      <c r="D49" s="690" t="s">
        <v>23</v>
      </c>
      <c r="X49" s="684"/>
      <c r="Y49" s="684"/>
      <c r="Z49" s="684"/>
      <c r="AL49" s="616"/>
    </row>
    <row r="50" spans="2:38" ht="18.75" customHeight="1" x14ac:dyDescent="0.2">
      <c r="B50" s="623"/>
      <c r="D50" s="687" t="str">
        <f>D13</f>
        <v>col. 01</v>
      </c>
      <c r="AL50" s="616"/>
    </row>
    <row r="51" spans="2:38" ht="18.75" customHeight="1" x14ac:dyDescent="0.2">
      <c r="B51" s="691"/>
      <c r="C51" s="648"/>
      <c r="D51" s="589">
        <f>COUNTIF(D55:AA57,"ERROR")+COUNTIF(AE14:AL40,"ERROR")</f>
        <v>6</v>
      </c>
      <c r="AL51" s="616"/>
    </row>
    <row r="52" spans="2:38" ht="20.85" customHeight="1" x14ac:dyDescent="0.2">
      <c r="B52" s="441"/>
      <c r="C52" s="692"/>
      <c r="D52" s="590"/>
    </row>
    <row r="53" spans="2:38" x14ac:dyDescent="0.2">
      <c r="B53" s="441"/>
      <c r="C53" s="692"/>
      <c r="D53" s="591"/>
    </row>
    <row r="54" spans="2:38" x14ac:dyDescent="0.2">
      <c r="D54" s="575" t="s">
        <v>22</v>
      </c>
      <c r="E54" s="575" t="s">
        <v>21</v>
      </c>
      <c r="F54" s="575" t="s">
        <v>20</v>
      </c>
      <c r="G54" s="575" t="s">
        <v>19</v>
      </c>
      <c r="H54" s="575" t="s">
        <v>18</v>
      </c>
      <c r="I54" s="575" t="s">
        <v>17</v>
      </c>
      <c r="J54" s="575" t="s">
        <v>16</v>
      </c>
      <c r="K54" s="575" t="s">
        <v>15</v>
      </c>
      <c r="L54" s="575" t="s">
        <v>14</v>
      </c>
      <c r="M54" s="575" t="s">
        <v>13</v>
      </c>
      <c r="N54" s="575" t="s">
        <v>12</v>
      </c>
      <c r="O54" s="575" t="s">
        <v>11</v>
      </c>
      <c r="P54" s="575" t="s">
        <v>10</v>
      </c>
      <c r="Q54" s="575" t="s">
        <v>9</v>
      </c>
      <c r="R54" s="575" t="s">
        <v>8</v>
      </c>
      <c r="S54" s="575" t="s">
        <v>7</v>
      </c>
      <c r="T54" s="575" t="s">
        <v>6</v>
      </c>
      <c r="U54" s="575" t="s">
        <v>5</v>
      </c>
      <c r="V54" s="575" t="s">
        <v>1420</v>
      </c>
      <c r="W54" s="575" t="s">
        <v>1421</v>
      </c>
      <c r="X54" s="575" t="s">
        <v>1422</v>
      </c>
      <c r="Y54" s="575" t="s">
        <v>1423</v>
      </c>
      <c r="Z54" s="575" t="s">
        <v>1424</v>
      </c>
      <c r="AA54" s="575" t="s">
        <v>1425</v>
      </c>
      <c r="AC54" s="442"/>
    </row>
    <row r="55" spans="2:38" x14ac:dyDescent="0.2">
      <c r="B55" s="1474" t="s">
        <v>1795</v>
      </c>
      <c r="C55" s="442"/>
      <c r="D55" s="577" t="str">
        <f>IF(ROUND(D18+D19+D20+D21+D22,0)=ROUND(D14,0),"OK","ERROR")</f>
        <v>ERROR</v>
      </c>
      <c r="E55" s="577" t="str">
        <f t="shared" ref="E55:AA55" si="32">IF(ROUND(E18+E19+E20+E21+E22,0)=ROUND(E14,0),"OK","ERROR")</f>
        <v>OK</v>
      </c>
      <c r="F55" s="577" t="str">
        <f t="shared" si="32"/>
        <v>ERROR</v>
      </c>
      <c r="G55" s="577" t="str">
        <f t="shared" si="32"/>
        <v>OK</v>
      </c>
      <c r="H55" s="577" t="str">
        <f t="shared" si="32"/>
        <v>OK</v>
      </c>
      <c r="I55" s="577" t="str">
        <f t="shared" si="32"/>
        <v>OK</v>
      </c>
      <c r="J55" s="577" t="str">
        <f t="shared" si="32"/>
        <v>OK</v>
      </c>
      <c r="K55" s="577" t="str">
        <f t="shared" si="32"/>
        <v>OK</v>
      </c>
      <c r="L55" s="577" t="str">
        <f t="shared" si="32"/>
        <v>OK</v>
      </c>
      <c r="M55" s="577" t="str">
        <f t="shared" si="32"/>
        <v>OK</v>
      </c>
      <c r="N55" s="577" t="str">
        <f t="shared" si="32"/>
        <v>OK</v>
      </c>
      <c r="O55" s="577" t="str">
        <f t="shared" si="32"/>
        <v>ERROR</v>
      </c>
      <c r="P55" s="577" t="str">
        <f t="shared" si="32"/>
        <v>OK</v>
      </c>
      <c r="Q55" s="577" t="str">
        <f t="shared" si="32"/>
        <v>OK</v>
      </c>
      <c r="R55" s="577" t="str">
        <f t="shared" si="32"/>
        <v>OK</v>
      </c>
      <c r="S55" s="577" t="str">
        <f t="shared" si="32"/>
        <v>OK</v>
      </c>
      <c r="T55" s="577" t="str">
        <f t="shared" si="32"/>
        <v>OK</v>
      </c>
      <c r="U55" s="577" t="str">
        <f t="shared" si="32"/>
        <v>ERROR</v>
      </c>
      <c r="V55" s="577" t="str">
        <f t="shared" si="32"/>
        <v>OK</v>
      </c>
      <c r="W55" s="577" t="str">
        <f t="shared" si="32"/>
        <v>ERROR</v>
      </c>
      <c r="X55" s="577" t="str">
        <f t="shared" si="32"/>
        <v>OK</v>
      </c>
      <c r="Y55" s="577" t="str">
        <f t="shared" si="32"/>
        <v>OK</v>
      </c>
      <c r="Z55" s="577" t="str">
        <f t="shared" si="32"/>
        <v>OK</v>
      </c>
      <c r="AA55" s="577" t="str">
        <f t="shared" si="32"/>
        <v>ERROR</v>
      </c>
      <c r="AB55" s="442"/>
      <c r="AC55" s="442"/>
    </row>
    <row r="56" spans="2:38" x14ac:dyDescent="0.2">
      <c r="B56" s="1024" t="s">
        <v>1767</v>
      </c>
      <c r="C56" s="442"/>
      <c r="D56" s="577" t="str">
        <f>IF(ROUND(D15,0)&lt;=ROUND(D14,0),"OK","ERROR")</f>
        <v>OK</v>
      </c>
      <c r="E56" s="577" t="str">
        <f t="shared" ref="E56:AA56" si="33">IF(ROUND(E15,0)&lt;=ROUND(E14,0),"OK","ERROR")</f>
        <v>OK</v>
      </c>
      <c r="F56" s="577" t="str">
        <f t="shared" si="33"/>
        <v>OK</v>
      </c>
      <c r="G56" s="577" t="str">
        <f t="shared" si="33"/>
        <v>OK</v>
      </c>
      <c r="H56" s="577" t="str">
        <f t="shared" si="33"/>
        <v>OK</v>
      </c>
      <c r="I56" s="577" t="str">
        <f t="shared" si="33"/>
        <v>OK</v>
      </c>
      <c r="J56" s="577" t="str">
        <f t="shared" si="33"/>
        <v>OK</v>
      </c>
      <c r="K56" s="577" t="str">
        <f t="shared" si="33"/>
        <v>OK</v>
      </c>
      <c r="L56" s="577" t="str">
        <f t="shared" si="33"/>
        <v>OK</v>
      </c>
      <c r="M56" s="577" t="str">
        <f t="shared" si="33"/>
        <v>OK</v>
      </c>
      <c r="N56" s="577" t="str">
        <f t="shared" si="33"/>
        <v>OK</v>
      </c>
      <c r="O56" s="577" t="str">
        <f t="shared" si="33"/>
        <v>OK</v>
      </c>
      <c r="P56" s="577" t="str">
        <f t="shared" si="33"/>
        <v>OK</v>
      </c>
      <c r="Q56" s="577" t="str">
        <f t="shared" si="33"/>
        <v>OK</v>
      </c>
      <c r="R56" s="577" t="str">
        <f t="shared" si="33"/>
        <v>OK</v>
      </c>
      <c r="S56" s="577" t="str">
        <f t="shared" si="33"/>
        <v>OK</v>
      </c>
      <c r="T56" s="577" t="str">
        <f t="shared" si="33"/>
        <v>OK</v>
      </c>
      <c r="U56" s="577" t="str">
        <f t="shared" si="33"/>
        <v>OK</v>
      </c>
      <c r="V56" s="577" t="str">
        <f t="shared" si="33"/>
        <v>OK</v>
      </c>
      <c r="W56" s="577" t="str">
        <f t="shared" si="33"/>
        <v>OK</v>
      </c>
      <c r="X56" s="577" t="str">
        <f t="shared" si="33"/>
        <v>OK</v>
      </c>
      <c r="Y56" s="577" t="str">
        <f t="shared" si="33"/>
        <v>OK</v>
      </c>
      <c r="Z56" s="577" t="str">
        <f t="shared" si="33"/>
        <v>OK</v>
      </c>
      <c r="AA56" s="577" t="str">
        <f t="shared" si="33"/>
        <v>OK</v>
      </c>
      <c r="AB56" s="442"/>
      <c r="AC56" s="442"/>
    </row>
    <row r="57" spans="2:38" x14ac:dyDescent="0.2">
      <c r="B57" s="1024" t="s">
        <v>1768</v>
      </c>
      <c r="C57" s="442"/>
      <c r="D57" s="577" t="str">
        <f>IF(ROUND(D16,0)&lt;=ROUND(D15,0),"OK","ERROR")</f>
        <v>OK</v>
      </c>
      <c r="E57" s="577" t="str">
        <f t="shared" ref="E57:AA57" si="34">IF(ROUND(E16,0)&lt;=ROUND(E15,0),"OK","ERROR")</f>
        <v>OK</v>
      </c>
      <c r="F57" s="577" t="str">
        <f t="shared" si="34"/>
        <v>OK</v>
      </c>
      <c r="G57" s="577" t="str">
        <f t="shared" si="34"/>
        <v>OK</v>
      </c>
      <c r="H57" s="577" t="str">
        <f t="shared" si="34"/>
        <v>OK</v>
      </c>
      <c r="I57" s="577" t="str">
        <f t="shared" si="34"/>
        <v>OK</v>
      </c>
      <c r="J57" s="577" t="str">
        <f t="shared" si="34"/>
        <v>OK</v>
      </c>
      <c r="K57" s="577" t="str">
        <f t="shared" si="34"/>
        <v>OK</v>
      </c>
      <c r="L57" s="577" t="str">
        <f t="shared" si="34"/>
        <v>OK</v>
      </c>
      <c r="M57" s="577" t="str">
        <f t="shared" si="34"/>
        <v>OK</v>
      </c>
      <c r="N57" s="577" t="str">
        <f t="shared" si="34"/>
        <v>OK</v>
      </c>
      <c r="O57" s="577" t="str">
        <f t="shared" si="34"/>
        <v>OK</v>
      </c>
      <c r="P57" s="577" t="str">
        <f t="shared" si="34"/>
        <v>OK</v>
      </c>
      <c r="Q57" s="577" t="str">
        <f t="shared" si="34"/>
        <v>OK</v>
      </c>
      <c r="R57" s="577" t="str">
        <f t="shared" si="34"/>
        <v>OK</v>
      </c>
      <c r="S57" s="577" t="str">
        <f t="shared" si="34"/>
        <v>OK</v>
      </c>
      <c r="T57" s="577" t="str">
        <f t="shared" si="34"/>
        <v>OK</v>
      </c>
      <c r="U57" s="577" t="str">
        <f t="shared" si="34"/>
        <v>OK</v>
      </c>
      <c r="V57" s="577" t="str">
        <f t="shared" si="34"/>
        <v>OK</v>
      </c>
      <c r="W57" s="577" t="str">
        <f t="shared" si="34"/>
        <v>OK</v>
      </c>
      <c r="X57" s="577" t="str">
        <f t="shared" si="34"/>
        <v>OK</v>
      </c>
      <c r="Y57" s="577" t="str">
        <f t="shared" si="34"/>
        <v>OK</v>
      </c>
      <c r="Z57" s="577" t="str">
        <f t="shared" si="34"/>
        <v>OK</v>
      </c>
      <c r="AA57" s="577" t="str">
        <f t="shared" si="34"/>
        <v>OK</v>
      </c>
      <c r="AB57" s="442"/>
      <c r="AC57" s="442"/>
    </row>
    <row r="58" spans="2:38" x14ac:dyDescent="0.2">
      <c r="C58" s="442"/>
      <c r="D58" s="442"/>
      <c r="E58" s="442"/>
      <c r="F58" s="442"/>
      <c r="G58" s="442"/>
      <c r="H58" s="442"/>
      <c r="I58" s="442"/>
      <c r="J58" s="442"/>
      <c r="K58" s="442"/>
      <c r="L58" s="442"/>
      <c r="M58" s="442"/>
      <c r="N58" s="442"/>
      <c r="O58" s="442"/>
      <c r="P58" s="442"/>
      <c r="Q58" s="442"/>
      <c r="R58" s="442"/>
      <c r="S58" s="442"/>
      <c r="T58" s="442"/>
      <c r="U58" s="442"/>
      <c r="V58" s="442"/>
      <c r="W58" s="442"/>
      <c r="X58" s="442"/>
      <c r="Y58" s="442"/>
      <c r="Z58" s="442"/>
      <c r="AA58" s="442"/>
      <c r="AB58" s="442"/>
      <c r="AC58" s="442"/>
    </row>
    <row r="59" spans="2:38" x14ac:dyDescent="0.2">
      <c r="C59" s="442"/>
      <c r="D59" s="442"/>
      <c r="E59" s="442"/>
      <c r="F59" s="442"/>
      <c r="G59" s="442"/>
      <c r="H59" s="442"/>
      <c r="I59" s="442"/>
      <c r="J59" s="442"/>
      <c r="K59" s="442"/>
      <c r="L59" s="442"/>
      <c r="M59" s="442"/>
      <c r="N59" s="442"/>
      <c r="O59" s="442"/>
      <c r="P59" s="442"/>
      <c r="Q59" s="442"/>
      <c r="R59" s="442"/>
      <c r="S59" s="442"/>
      <c r="T59" s="442"/>
      <c r="U59" s="442"/>
      <c r="V59" s="442"/>
      <c r="W59" s="442"/>
      <c r="X59" s="442"/>
      <c r="Y59" s="442"/>
      <c r="Z59" s="442"/>
      <c r="AA59" s="442"/>
      <c r="AB59" s="442"/>
      <c r="AC59" s="442"/>
    </row>
    <row r="60" spans="2:38" x14ac:dyDescent="0.2">
      <c r="C60" s="442"/>
      <c r="D60" s="442"/>
      <c r="E60" s="442"/>
      <c r="F60" s="442"/>
      <c r="G60" s="442"/>
      <c r="H60" s="442"/>
      <c r="I60" s="442"/>
      <c r="J60" s="442"/>
      <c r="K60" s="442"/>
      <c r="L60" s="442"/>
      <c r="M60" s="442"/>
      <c r="N60" s="442"/>
      <c r="O60" s="442"/>
      <c r="P60" s="442"/>
      <c r="Q60" s="442"/>
      <c r="R60" s="442"/>
      <c r="S60" s="442"/>
      <c r="T60" s="442"/>
      <c r="U60" s="442"/>
      <c r="V60" s="442"/>
      <c r="W60" s="442"/>
      <c r="X60" s="442"/>
      <c r="Y60" s="442"/>
      <c r="Z60" s="442"/>
      <c r="AA60" s="442"/>
      <c r="AB60" s="442"/>
      <c r="AC60" s="442"/>
    </row>
    <row r="61" spans="2:38" x14ac:dyDescent="0.2">
      <c r="G61" s="577"/>
      <c r="N61" s="577"/>
      <c r="X61" s="577"/>
      <c r="Y61" s="577"/>
      <c r="Z61" s="577"/>
      <c r="AC61" s="442"/>
    </row>
    <row r="62" spans="2:38" x14ac:dyDescent="0.2">
      <c r="G62" s="577"/>
      <c r="N62" s="577"/>
      <c r="X62" s="577"/>
      <c r="Y62" s="577"/>
      <c r="Z62" s="577"/>
    </row>
    <row r="63" spans="2:38" x14ac:dyDescent="0.2">
      <c r="G63" s="442"/>
      <c r="N63" s="442"/>
      <c r="X63" s="442"/>
      <c r="Y63" s="442"/>
      <c r="Z63" s="442"/>
    </row>
    <row r="64" spans="2:38" x14ac:dyDescent="0.2">
      <c r="G64" s="577"/>
      <c r="N64" s="577"/>
      <c r="X64" s="577"/>
      <c r="Y64" s="577"/>
      <c r="Z64" s="577"/>
    </row>
  </sheetData>
  <mergeCells count="4">
    <mergeCell ref="P8:T8"/>
    <mergeCell ref="P9:S9"/>
    <mergeCell ref="S10:S12"/>
    <mergeCell ref="T10:T12"/>
  </mergeCells>
  <conditionalFormatting sqref="D30">
    <cfRule type="cellIs" dxfId="3" priority="1" stopIfTrue="1" operator="equal">
      <formula>$D$55="ERROR"</formula>
    </cfRule>
  </conditionalFormatting>
  <printOptions gridLines="1" gridLinesSet="0"/>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colBreaks count="1" manualBreakCount="1">
    <brk id="15" max="34"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E24D9-DA26-4CC8-82D0-9B726ACFBE34}">
  <sheetPr>
    <tabColor rgb="FF92D050"/>
  </sheetPr>
  <dimension ref="A1:O99"/>
  <sheetViews>
    <sheetView zoomScale="85" zoomScaleNormal="85" workbookViewId="0">
      <selection activeCell="I75" sqref="I75"/>
    </sheetView>
  </sheetViews>
  <sheetFormatPr defaultColWidth="13.42578125" defaultRowHeight="12.75" x14ac:dyDescent="0.2"/>
  <cols>
    <col min="1" max="1" width="8.28515625" style="1206" bestFit="1" customWidth="1"/>
    <col min="2" max="2" width="56.5703125" style="407" customWidth="1"/>
    <col min="3" max="3" width="3.28515625" style="407" customWidth="1"/>
    <col min="4" max="7" width="28.7109375" style="407" customWidth="1"/>
    <col min="8" max="8" width="3.28515625" style="407" customWidth="1"/>
    <col min="9" max="9" width="21.42578125" style="407" bestFit="1" customWidth="1"/>
    <col min="10" max="10" width="13.42578125" style="409"/>
    <col min="11" max="11" width="18.5703125" style="410" bestFit="1" customWidth="1"/>
    <col min="12" max="12" width="14.42578125" style="407" bestFit="1" customWidth="1"/>
    <col min="13" max="13" width="14.42578125" style="407" customWidth="1"/>
    <col min="14" max="14" width="15.5703125" style="407" customWidth="1"/>
    <col min="15" max="15" width="4.42578125" style="407" customWidth="1"/>
    <col min="16" max="20" width="10" style="407" customWidth="1"/>
    <col min="21" max="16384" width="13.42578125" style="407"/>
  </cols>
  <sheetData>
    <row r="1" spans="1:15" ht="25.35" customHeight="1" x14ac:dyDescent="0.2">
      <c r="F1" s="408" t="s">
        <v>100</v>
      </c>
      <c r="G1" s="643" t="s">
        <v>1478</v>
      </c>
    </row>
    <row r="2" spans="1:15" ht="25.35" customHeight="1" x14ac:dyDescent="0.2">
      <c r="B2" s="412"/>
      <c r="F2" s="408" t="s">
        <v>98</v>
      </c>
      <c r="G2" s="413" t="s">
        <v>119</v>
      </c>
      <c r="K2" s="407"/>
    </row>
    <row r="3" spans="1:15" ht="25.35" customHeight="1" x14ac:dyDescent="0.2">
      <c r="F3" s="408" t="s">
        <v>96</v>
      </c>
      <c r="G3" s="414" t="s">
        <v>121</v>
      </c>
      <c r="K3" s="407"/>
    </row>
    <row r="4" spans="1:15" ht="22.5" customHeight="1" x14ac:dyDescent="0.25">
      <c r="B4" s="106" t="s">
        <v>2250</v>
      </c>
      <c r="D4" s="1209" t="s">
        <v>1666</v>
      </c>
      <c r="K4" s="407"/>
    </row>
    <row r="5" spans="1:15" ht="18" x14ac:dyDescent="0.25">
      <c r="A5" s="416"/>
      <c r="B5" s="407" t="s">
        <v>349</v>
      </c>
      <c r="D5" s="418" t="s">
        <v>99</v>
      </c>
      <c r="K5" s="407"/>
    </row>
    <row r="6" spans="1:15" ht="20.100000000000001" customHeight="1" x14ac:dyDescent="0.2">
      <c r="A6" s="419"/>
      <c r="B6" s="407" t="s">
        <v>350</v>
      </c>
      <c r="C6" s="420"/>
      <c r="D6" s="407" t="s">
        <v>351</v>
      </c>
      <c r="E6" s="420"/>
      <c r="F6" s="420"/>
      <c r="G6" s="420"/>
      <c r="K6" s="407"/>
    </row>
    <row r="7" spans="1:15" x14ac:dyDescent="0.2">
      <c r="A7" s="419"/>
      <c r="B7" s="407" t="s">
        <v>352</v>
      </c>
      <c r="C7" s="420"/>
      <c r="K7" s="407"/>
    </row>
    <row r="8" spans="1:15" ht="16.350000000000001" customHeight="1" x14ac:dyDescent="0.2">
      <c r="A8" s="421"/>
      <c r="B8" s="422"/>
      <c r="H8" s="424"/>
      <c r="I8" s="412"/>
      <c r="J8" s="425"/>
      <c r="K8" s="407"/>
    </row>
    <row r="9" spans="1:15" ht="7.5" customHeight="1" x14ac:dyDescent="0.2">
      <c r="A9" s="435"/>
      <c r="B9" s="426"/>
      <c r="C9" s="1373"/>
      <c r="D9" s="436"/>
      <c r="H9" s="1373"/>
      <c r="I9" s="412"/>
      <c r="J9" s="425"/>
    </row>
    <row r="10" spans="1:15" ht="21.6" hidden="1" customHeight="1" x14ac:dyDescent="0.2">
      <c r="B10" s="1353"/>
      <c r="C10" s="403"/>
      <c r="D10" s="440"/>
      <c r="H10" s="403"/>
      <c r="I10" s="441"/>
      <c r="J10" s="425"/>
      <c r="K10" s="442"/>
    </row>
    <row r="11" spans="1:15" ht="35.25" customHeight="1" x14ac:dyDescent="0.25">
      <c r="A11" s="1385" t="s">
        <v>1482</v>
      </c>
      <c r="B11" s="1354" t="s">
        <v>2225</v>
      </c>
      <c r="C11" s="709" t="s">
        <v>241</v>
      </c>
      <c r="D11" s="399"/>
      <c r="H11" s="709" t="s">
        <v>241</v>
      </c>
      <c r="I11" s="412"/>
      <c r="J11" s="425"/>
    </row>
    <row r="12" spans="1:15" ht="42" customHeight="1" x14ac:dyDescent="0.2">
      <c r="B12" s="426"/>
      <c r="C12" s="429"/>
      <c r="D12" s="708" t="s">
        <v>1477</v>
      </c>
      <c r="E12" s="1367" t="s">
        <v>2201</v>
      </c>
      <c r="F12" s="1367" t="s">
        <v>2202</v>
      </c>
      <c r="G12" s="1368" t="s">
        <v>1309</v>
      </c>
      <c r="H12" s="429"/>
      <c r="I12" s="412"/>
      <c r="J12" s="425"/>
      <c r="K12" s="407"/>
    </row>
    <row r="13" spans="1:15" ht="29.1" customHeight="1" x14ac:dyDescent="0.25">
      <c r="B13" s="1354" t="s">
        <v>2034</v>
      </c>
      <c r="C13" s="1378"/>
      <c r="D13" s="1379" t="s">
        <v>22</v>
      </c>
      <c r="E13" s="1380" t="s">
        <v>21</v>
      </c>
      <c r="F13" s="1381" t="s">
        <v>20</v>
      </c>
      <c r="G13" s="1381" t="s">
        <v>19</v>
      </c>
      <c r="H13" s="1378"/>
      <c r="I13" s="434"/>
      <c r="J13" s="425"/>
    </row>
    <row r="14" spans="1:15" ht="21.6" customHeight="1" x14ac:dyDescent="0.25">
      <c r="A14" s="1386" t="s">
        <v>1483</v>
      </c>
      <c r="B14" s="1354" t="s">
        <v>1984</v>
      </c>
      <c r="C14" s="403"/>
      <c r="D14" s="865"/>
      <c r="E14" s="404"/>
      <c r="F14" s="404"/>
      <c r="G14" s="404"/>
      <c r="H14" s="403"/>
      <c r="I14" s="412"/>
      <c r="J14" s="425"/>
    </row>
    <row r="15" spans="1:15" s="410" customFormat="1" ht="21.6" customHeight="1" x14ac:dyDescent="0.2">
      <c r="A15" s="1369">
        <v>2.1</v>
      </c>
      <c r="B15" s="1355" t="s">
        <v>2198</v>
      </c>
      <c r="C15" s="709" t="s">
        <v>241</v>
      </c>
      <c r="D15" s="499"/>
      <c r="E15" s="404"/>
      <c r="F15" s="404"/>
      <c r="G15" s="404"/>
      <c r="H15" s="709" t="s">
        <v>241</v>
      </c>
      <c r="I15" s="412"/>
      <c r="J15" s="425"/>
      <c r="L15" s="407"/>
      <c r="M15" s="407"/>
      <c r="N15" s="407"/>
      <c r="O15" s="407"/>
    </row>
    <row r="16" spans="1:15" s="410" customFormat="1" ht="21.6" customHeight="1" x14ac:dyDescent="0.2">
      <c r="A16" s="1369" t="s">
        <v>209</v>
      </c>
      <c r="B16" s="1352" t="s">
        <v>2171</v>
      </c>
      <c r="C16" s="709" t="s">
        <v>241</v>
      </c>
      <c r="D16" s="499"/>
      <c r="E16" s="404"/>
      <c r="F16" s="404"/>
      <c r="G16" s="404"/>
      <c r="H16" s="709" t="s">
        <v>241</v>
      </c>
      <c r="I16" s="412"/>
      <c r="J16" s="425"/>
      <c r="L16" s="407"/>
      <c r="M16" s="407"/>
      <c r="N16" s="407"/>
      <c r="O16" s="407"/>
    </row>
    <row r="17" spans="1:15" s="410" customFormat="1" ht="21.6" customHeight="1" x14ac:dyDescent="0.2">
      <c r="A17" s="1369" t="s">
        <v>211</v>
      </c>
      <c r="B17" s="1352" t="s">
        <v>2172</v>
      </c>
      <c r="C17" s="709" t="s">
        <v>241</v>
      </c>
      <c r="D17" s="499"/>
      <c r="E17" s="404"/>
      <c r="F17" s="404"/>
      <c r="G17" s="404"/>
      <c r="H17" s="709" t="s">
        <v>241</v>
      </c>
      <c r="I17" s="412"/>
      <c r="J17" s="425"/>
      <c r="L17" s="407"/>
      <c r="M17" s="407"/>
      <c r="N17" s="407"/>
      <c r="O17" s="407"/>
    </row>
    <row r="18" spans="1:15" s="410" customFormat="1" ht="21.6" customHeight="1" x14ac:dyDescent="0.2">
      <c r="A18" s="1370" t="s">
        <v>1343</v>
      </c>
      <c r="B18" s="1355" t="s">
        <v>1685</v>
      </c>
      <c r="C18" s="403"/>
      <c r="D18" s="404"/>
      <c r="E18" s="404"/>
      <c r="F18" s="404"/>
      <c r="G18" s="404"/>
      <c r="H18" s="403"/>
      <c r="I18" s="412"/>
      <c r="J18" s="425"/>
      <c r="L18" s="407"/>
      <c r="M18" s="407"/>
      <c r="N18" s="407"/>
      <c r="O18" s="407"/>
    </row>
    <row r="19" spans="1:15" s="410" customFormat="1" ht="21.6" customHeight="1" x14ac:dyDescent="0.2">
      <c r="A19" s="1369" t="s">
        <v>1655</v>
      </c>
      <c r="B19" s="1352" t="s">
        <v>2173</v>
      </c>
      <c r="C19" s="709" t="s">
        <v>241</v>
      </c>
      <c r="D19" s="499"/>
      <c r="E19" s="404"/>
      <c r="F19" s="404"/>
      <c r="G19" s="404"/>
      <c r="H19" s="709" t="s">
        <v>241</v>
      </c>
      <c r="I19" s="412"/>
      <c r="J19" s="425"/>
      <c r="L19" s="407"/>
      <c r="M19" s="407"/>
      <c r="N19" s="407"/>
      <c r="O19" s="407"/>
    </row>
    <row r="20" spans="1:15" s="410" customFormat="1" ht="21.6" customHeight="1" x14ac:dyDescent="0.2">
      <c r="A20" s="1369" t="s">
        <v>1656</v>
      </c>
      <c r="B20" s="1352" t="s">
        <v>2174</v>
      </c>
      <c r="C20" s="709" t="s">
        <v>241</v>
      </c>
      <c r="D20" s="499"/>
      <c r="E20" s="404"/>
      <c r="F20" s="404"/>
      <c r="G20" s="404"/>
      <c r="H20" s="709" t="s">
        <v>241</v>
      </c>
      <c r="I20" s="412"/>
      <c r="J20" s="425"/>
      <c r="L20" s="407"/>
      <c r="M20" s="407"/>
      <c r="N20" s="407"/>
      <c r="O20" s="407"/>
    </row>
    <row r="21" spans="1:15" s="410" customFormat="1" ht="21.6" customHeight="1" x14ac:dyDescent="0.2">
      <c r="A21" s="1369" t="s">
        <v>1657</v>
      </c>
      <c r="B21" s="1352" t="s">
        <v>2175</v>
      </c>
      <c r="C21" s="709" t="s">
        <v>241</v>
      </c>
      <c r="D21" s="499"/>
      <c r="E21" s="351"/>
      <c r="F21" s="404"/>
      <c r="G21" s="404"/>
      <c r="H21" s="709" t="s">
        <v>241</v>
      </c>
      <c r="I21" s="412"/>
      <c r="J21" s="425"/>
      <c r="L21" s="407"/>
      <c r="M21" s="407"/>
      <c r="N21" s="407"/>
      <c r="O21" s="407"/>
    </row>
    <row r="22" spans="1:15" s="410" customFormat="1" ht="21.6" customHeight="1" x14ac:dyDescent="0.2">
      <c r="A22" s="1369" t="s">
        <v>1992</v>
      </c>
      <c r="B22" s="1352" t="s">
        <v>1926</v>
      </c>
      <c r="C22" s="709" t="s">
        <v>241</v>
      </c>
      <c r="D22" s="404"/>
      <c r="E22" s="404"/>
      <c r="F22" s="863"/>
      <c r="G22" s="404"/>
      <c r="H22" s="709" t="s">
        <v>241</v>
      </c>
      <c r="I22" s="412"/>
      <c r="J22" s="425"/>
      <c r="L22" s="407"/>
      <c r="M22" s="407"/>
      <c r="N22" s="407"/>
      <c r="O22" s="407"/>
    </row>
    <row r="23" spans="1:15" s="410" customFormat="1" ht="21.6" customHeight="1" x14ac:dyDescent="0.2">
      <c r="A23" s="1369" t="s">
        <v>1993</v>
      </c>
      <c r="B23" s="1352" t="s">
        <v>2199</v>
      </c>
      <c r="C23" s="709" t="s">
        <v>241</v>
      </c>
      <c r="D23" s="404"/>
      <c r="E23" s="404"/>
      <c r="F23" s="864"/>
      <c r="G23" s="404"/>
      <c r="H23" s="709" t="s">
        <v>241</v>
      </c>
      <c r="I23" s="412"/>
      <c r="J23" s="425"/>
      <c r="L23" s="407"/>
      <c r="M23" s="407"/>
      <c r="N23" s="407"/>
      <c r="O23" s="407"/>
    </row>
    <row r="24" spans="1:15" s="410" customFormat="1" ht="21.6" customHeight="1" x14ac:dyDescent="0.2">
      <c r="A24" s="1369" t="s">
        <v>1994</v>
      </c>
      <c r="B24" s="1352" t="s">
        <v>2176</v>
      </c>
      <c r="C24" s="709" t="s">
        <v>241</v>
      </c>
      <c r="D24" s="499"/>
      <c r="E24" s="404"/>
      <c r="F24" s="404"/>
      <c r="G24" s="404"/>
      <c r="H24" s="709" t="s">
        <v>241</v>
      </c>
      <c r="I24" s="412"/>
      <c r="J24" s="425"/>
      <c r="L24" s="407"/>
      <c r="M24" s="407"/>
      <c r="N24" s="407"/>
      <c r="O24" s="407"/>
    </row>
    <row r="25" spans="1:15" s="410" customFormat="1" ht="21.6" customHeight="1" x14ac:dyDescent="0.2">
      <c r="A25" s="1369" t="s">
        <v>1995</v>
      </c>
      <c r="B25" s="1352" t="s">
        <v>1651</v>
      </c>
      <c r="C25" s="709" t="s">
        <v>241</v>
      </c>
      <c r="D25" s="499"/>
      <c r="E25" s="404"/>
      <c r="F25" s="404"/>
      <c r="G25" s="404"/>
      <c r="H25" s="709" t="s">
        <v>241</v>
      </c>
      <c r="I25" s="412"/>
      <c r="J25" s="425"/>
      <c r="L25" s="407"/>
      <c r="M25" s="407"/>
      <c r="N25" s="407"/>
      <c r="O25" s="407"/>
    </row>
    <row r="26" spans="1:15" s="410" customFormat="1" ht="21.6" customHeight="1" x14ac:dyDescent="0.2">
      <c r="A26" s="1369">
        <v>2.2000000000000002</v>
      </c>
      <c r="B26" s="1355" t="s">
        <v>2194</v>
      </c>
      <c r="C26" s="709" t="s">
        <v>241</v>
      </c>
      <c r="D26" s="499"/>
      <c r="E26" s="1374"/>
      <c r="F26" s="404"/>
      <c r="G26" s="404"/>
      <c r="H26" s="709" t="s">
        <v>241</v>
      </c>
      <c r="I26" s="412"/>
      <c r="J26" s="425"/>
      <c r="L26" s="407"/>
      <c r="M26" s="407"/>
      <c r="N26" s="407"/>
      <c r="O26" s="407"/>
    </row>
    <row r="27" spans="1:15" s="410" customFormat="1" ht="21.6" customHeight="1" x14ac:dyDescent="0.2">
      <c r="A27" s="1369">
        <v>2.2999999999999998</v>
      </c>
      <c r="B27" s="1355" t="s">
        <v>2195</v>
      </c>
      <c r="C27" s="709" t="s">
        <v>241</v>
      </c>
      <c r="D27" s="499"/>
      <c r="E27" s="1374"/>
      <c r="F27" s="404"/>
      <c r="G27" s="404"/>
      <c r="H27" s="709" t="s">
        <v>241</v>
      </c>
      <c r="I27" s="412"/>
      <c r="J27" s="425"/>
      <c r="L27" s="407"/>
      <c r="M27" s="407"/>
      <c r="N27" s="407"/>
      <c r="O27" s="407"/>
    </row>
    <row r="28" spans="1:15" s="410" customFormat="1" ht="21.6" customHeight="1" x14ac:dyDescent="0.2">
      <c r="A28" s="1370">
        <v>2.4</v>
      </c>
      <c r="B28" s="1355" t="s">
        <v>189</v>
      </c>
      <c r="C28" s="403"/>
      <c r="D28" s="404"/>
      <c r="E28" s="404"/>
      <c r="F28" s="404"/>
      <c r="G28" s="404"/>
      <c r="H28" s="403"/>
      <c r="I28" s="412"/>
      <c r="J28" s="425"/>
      <c r="L28" s="407"/>
      <c r="M28" s="407"/>
      <c r="N28" s="407"/>
      <c r="O28" s="407"/>
    </row>
    <row r="29" spans="1:15" s="410" customFormat="1" ht="21.6" customHeight="1" x14ac:dyDescent="0.2">
      <c r="A29" s="1369" t="s">
        <v>236</v>
      </c>
      <c r="B29" s="1352" t="s">
        <v>2180</v>
      </c>
      <c r="C29" s="709" t="s">
        <v>241</v>
      </c>
      <c r="D29" s="499"/>
      <c r="E29" s="404"/>
      <c r="F29" s="404"/>
      <c r="G29" s="404"/>
      <c r="H29" s="709" t="s">
        <v>241</v>
      </c>
      <c r="I29" s="412"/>
      <c r="J29" s="425"/>
      <c r="L29" s="407"/>
      <c r="M29" s="407"/>
      <c r="N29" s="407"/>
      <c r="O29" s="407"/>
    </row>
    <row r="30" spans="1:15" s="410" customFormat="1" ht="21.6" customHeight="1" x14ac:dyDescent="0.2">
      <c r="A30" s="1369" t="s">
        <v>238</v>
      </c>
      <c r="B30" s="1352" t="s">
        <v>2181</v>
      </c>
      <c r="C30" s="709" t="s">
        <v>241</v>
      </c>
      <c r="D30" s="499"/>
      <c r="E30" s="404"/>
      <c r="F30" s="404"/>
      <c r="G30" s="404"/>
      <c r="H30" s="709" t="s">
        <v>241</v>
      </c>
      <c r="I30" s="412"/>
      <c r="J30" s="425"/>
      <c r="L30" s="407"/>
      <c r="M30" s="407"/>
      <c r="N30" s="407"/>
      <c r="O30" s="407"/>
    </row>
    <row r="31" spans="1:15" s="410" customFormat="1" ht="21.6" customHeight="1" x14ac:dyDescent="0.2">
      <c r="A31" s="1369" t="s">
        <v>843</v>
      </c>
      <c r="B31" s="1352" t="s">
        <v>2182</v>
      </c>
      <c r="C31" s="709" t="s">
        <v>241</v>
      </c>
      <c r="D31" s="499"/>
      <c r="E31" s="404"/>
      <c r="F31" s="404"/>
      <c r="G31" s="404"/>
      <c r="H31" s="709" t="s">
        <v>241</v>
      </c>
      <c r="I31" s="412"/>
      <c r="J31" s="425"/>
      <c r="L31" s="407"/>
      <c r="M31" s="407"/>
      <c r="N31" s="407"/>
      <c r="O31" s="407"/>
    </row>
    <row r="32" spans="1:15" s="410" customFormat="1" ht="21.6" customHeight="1" x14ac:dyDescent="0.2">
      <c r="A32" s="1369" t="s">
        <v>1980</v>
      </c>
      <c r="B32" s="1352" t="s">
        <v>2183</v>
      </c>
      <c r="C32" s="709" t="s">
        <v>241</v>
      </c>
      <c r="D32" s="499"/>
      <c r="E32" s="404"/>
      <c r="F32" s="404"/>
      <c r="G32" s="404"/>
      <c r="H32" s="709" t="s">
        <v>241</v>
      </c>
      <c r="I32" s="412"/>
      <c r="J32" s="425"/>
      <c r="L32" s="407"/>
      <c r="M32" s="407"/>
      <c r="N32" s="407"/>
      <c r="O32" s="407"/>
    </row>
    <row r="33" spans="1:15" s="410" customFormat="1" ht="21.6" customHeight="1" x14ac:dyDescent="0.2">
      <c r="A33" s="1369" t="s">
        <v>1981</v>
      </c>
      <c r="B33" s="1352" t="s">
        <v>2184</v>
      </c>
      <c r="C33" s="709" t="s">
        <v>241</v>
      </c>
      <c r="D33" s="404"/>
      <c r="E33" s="404"/>
      <c r="F33" s="864"/>
      <c r="G33" s="404"/>
      <c r="H33" s="709" t="s">
        <v>241</v>
      </c>
      <c r="I33" s="412"/>
      <c r="J33" s="425"/>
      <c r="L33" s="407"/>
      <c r="M33" s="407"/>
      <c r="N33" s="407"/>
      <c r="O33" s="407"/>
    </row>
    <row r="34" spans="1:15" s="410" customFormat="1" ht="21.6" customHeight="1" x14ac:dyDescent="0.2">
      <c r="A34" s="1369" t="s">
        <v>1982</v>
      </c>
      <c r="B34" s="1352" t="s">
        <v>2185</v>
      </c>
      <c r="C34" s="709" t="s">
        <v>241</v>
      </c>
      <c r="D34" s="404"/>
      <c r="E34" s="404"/>
      <c r="F34" s="864"/>
      <c r="G34" s="404"/>
      <c r="H34" s="709" t="s">
        <v>241</v>
      </c>
      <c r="I34" s="412"/>
      <c r="J34" s="425"/>
      <c r="L34" s="407"/>
      <c r="M34" s="407"/>
      <c r="N34" s="407"/>
      <c r="O34" s="407"/>
    </row>
    <row r="35" spans="1:15" s="410" customFormat="1" ht="21.6" customHeight="1" x14ac:dyDescent="0.2">
      <c r="A35" s="1370">
        <v>2.5</v>
      </c>
      <c r="B35" s="1355" t="s">
        <v>1497</v>
      </c>
      <c r="C35" s="403"/>
      <c r="D35" s="404"/>
      <c r="E35" s="404"/>
      <c r="F35" s="404"/>
      <c r="G35" s="404"/>
      <c r="H35" s="403"/>
      <c r="I35" s="412"/>
      <c r="J35" s="425"/>
      <c r="L35" s="407"/>
      <c r="M35" s="407"/>
      <c r="N35" s="407"/>
      <c r="O35" s="407"/>
    </row>
    <row r="36" spans="1:15" s="410" customFormat="1" ht="21.6" customHeight="1" x14ac:dyDescent="0.2">
      <c r="A36" s="1369" t="s">
        <v>1801</v>
      </c>
      <c r="B36" s="1352" t="s">
        <v>2186</v>
      </c>
      <c r="C36" s="709" t="s">
        <v>241</v>
      </c>
      <c r="D36" s="499"/>
      <c r="E36" s="404"/>
      <c r="F36" s="404"/>
      <c r="G36" s="404"/>
      <c r="H36" s="709" t="s">
        <v>241</v>
      </c>
      <c r="I36" s="412"/>
      <c r="J36" s="425"/>
    </row>
    <row r="37" spans="1:15" s="410" customFormat="1" ht="21.6" customHeight="1" x14ac:dyDescent="0.2">
      <c r="A37" s="1369" t="s">
        <v>1802</v>
      </c>
      <c r="B37" s="1352" t="s">
        <v>2187</v>
      </c>
      <c r="C37" s="709" t="s">
        <v>241</v>
      </c>
      <c r="D37" s="499"/>
      <c r="E37" s="404"/>
      <c r="F37" s="404"/>
      <c r="G37" s="404"/>
      <c r="H37" s="709" t="s">
        <v>241</v>
      </c>
      <c r="I37" s="412"/>
      <c r="J37" s="425"/>
    </row>
    <row r="38" spans="1:15" s="410" customFormat="1" ht="21.6" customHeight="1" x14ac:dyDescent="0.2">
      <c r="A38" s="1369" t="s">
        <v>1803</v>
      </c>
      <c r="B38" s="1352" t="s">
        <v>2189</v>
      </c>
      <c r="C38" s="709" t="s">
        <v>241</v>
      </c>
      <c r="D38" s="499"/>
      <c r="E38" s="404"/>
      <c r="F38" s="404"/>
      <c r="G38" s="404"/>
      <c r="H38" s="709" t="s">
        <v>241</v>
      </c>
      <c r="I38" s="412"/>
      <c r="J38" s="425"/>
    </row>
    <row r="39" spans="1:15" s="410" customFormat="1" ht="21.6" customHeight="1" x14ac:dyDescent="0.2">
      <c r="A39" s="1369" t="s">
        <v>1804</v>
      </c>
      <c r="B39" s="1361" t="s">
        <v>2188</v>
      </c>
      <c r="C39" s="709" t="s">
        <v>241</v>
      </c>
      <c r="D39" s="499"/>
      <c r="E39" s="1374"/>
      <c r="F39" s="404"/>
      <c r="G39" s="404"/>
      <c r="H39" s="709" t="s">
        <v>241</v>
      </c>
      <c r="I39" s="412"/>
      <c r="J39" s="425"/>
    </row>
    <row r="40" spans="1:15" ht="21.6" customHeight="1" x14ac:dyDescent="0.25">
      <c r="A40" s="1386" t="s">
        <v>1985</v>
      </c>
      <c r="B40" s="1354" t="s">
        <v>1983</v>
      </c>
      <c r="C40" s="403"/>
      <c r="D40" s="404"/>
      <c r="E40" s="404"/>
      <c r="F40" s="404"/>
      <c r="G40" s="404"/>
      <c r="H40" s="403"/>
      <c r="I40" s="412"/>
      <c r="J40" s="425"/>
    </row>
    <row r="41" spans="1:15" s="410" customFormat="1" ht="21.6" customHeight="1" x14ac:dyDescent="0.25">
      <c r="A41" s="1370" t="s">
        <v>869</v>
      </c>
      <c r="B41" s="1356" t="s">
        <v>1479</v>
      </c>
      <c r="C41" s="403"/>
      <c r="D41" s="404"/>
      <c r="E41" s="404"/>
      <c r="F41" s="404"/>
      <c r="G41" s="404"/>
      <c r="H41" s="403"/>
      <c r="I41" s="412"/>
      <c r="J41" s="425"/>
      <c r="L41" s="407"/>
      <c r="M41" s="407"/>
      <c r="N41" s="407"/>
      <c r="O41" s="407"/>
    </row>
    <row r="42" spans="1:15" s="410" customFormat="1" ht="21.6" customHeight="1" x14ac:dyDescent="0.2">
      <c r="A42" s="1371" t="s">
        <v>1986</v>
      </c>
      <c r="B42" s="1357" t="s">
        <v>1927</v>
      </c>
      <c r="C42" s="709" t="s">
        <v>241</v>
      </c>
      <c r="D42" s="404"/>
      <c r="E42" s="1375" t="str">
        <f>IF(G42&gt;0,IF(G42&lt;0.03*P_CASABISIRB_RWALRD.MELD!I12,"PASSED","FAILED"), " ")</f>
        <v xml:space="preserve"> </v>
      </c>
      <c r="F42" s="404"/>
      <c r="G42" s="1376"/>
      <c r="H42" s="709" t="s">
        <v>241</v>
      </c>
      <c r="I42" s="412"/>
      <c r="J42" s="425"/>
      <c r="L42" s="407"/>
      <c r="M42" s="407"/>
      <c r="N42" s="407"/>
      <c r="O42" s="407"/>
    </row>
    <row r="43" spans="1:15" s="410" customFormat="1" ht="21.6" customHeight="1" x14ac:dyDescent="0.2">
      <c r="A43" s="1369" t="s">
        <v>871</v>
      </c>
      <c r="B43" s="1352" t="s">
        <v>2049</v>
      </c>
      <c r="C43" s="709" t="s">
        <v>241</v>
      </c>
      <c r="D43" s="499"/>
      <c r="E43" s="404"/>
      <c r="F43" s="404"/>
      <c r="G43" s="1376"/>
      <c r="H43" s="709" t="s">
        <v>241</v>
      </c>
      <c r="I43" s="412"/>
      <c r="J43" s="425"/>
      <c r="L43" s="407"/>
      <c r="M43" s="407"/>
      <c r="N43" s="407"/>
      <c r="O43" s="407"/>
    </row>
    <row r="44" spans="1:15" s="410" customFormat="1" ht="21.6" customHeight="1" x14ac:dyDescent="0.2">
      <c r="A44" s="1369" t="s">
        <v>873</v>
      </c>
      <c r="B44" s="1352" t="s">
        <v>2190</v>
      </c>
      <c r="C44" s="709" t="s">
        <v>241</v>
      </c>
      <c r="D44" s="499"/>
      <c r="E44" s="404"/>
      <c r="F44" s="404"/>
      <c r="G44" s="1376"/>
      <c r="H44" s="709" t="s">
        <v>241</v>
      </c>
      <c r="I44" s="412"/>
      <c r="J44" s="425"/>
      <c r="L44" s="407"/>
      <c r="M44" s="407"/>
      <c r="N44" s="407"/>
      <c r="O44" s="407"/>
    </row>
    <row r="45" spans="1:15" s="410" customFormat="1" ht="21.6" customHeight="1" x14ac:dyDescent="0.2">
      <c r="A45" s="1369" t="s">
        <v>875</v>
      </c>
      <c r="B45" s="1352" t="s">
        <v>2191</v>
      </c>
      <c r="C45" s="709" t="s">
        <v>241</v>
      </c>
      <c r="D45" s="499"/>
      <c r="E45" s="404"/>
      <c r="F45" s="404"/>
      <c r="G45" s="1376"/>
      <c r="H45" s="709" t="s">
        <v>241</v>
      </c>
      <c r="I45" s="412"/>
      <c r="J45" s="425"/>
      <c r="L45" s="407"/>
      <c r="M45" s="407"/>
      <c r="N45" s="407"/>
      <c r="O45" s="407"/>
    </row>
    <row r="46" spans="1:15" s="410" customFormat="1" ht="21.6" customHeight="1" x14ac:dyDescent="0.2">
      <c r="A46" s="1369" t="s">
        <v>1987</v>
      </c>
      <c r="B46" s="1352" t="s">
        <v>2192</v>
      </c>
      <c r="C46" s="709" t="s">
        <v>241</v>
      </c>
      <c r="D46" s="499"/>
      <c r="E46" s="1374"/>
      <c r="F46" s="404"/>
      <c r="G46" s="1376"/>
      <c r="H46" s="709" t="s">
        <v>241</v>
      </c>
      <c r="I46" s="412"/>
      <c r="J46" s="425"/>
      <c r="L46" s="407"/>
      <c r="M46" s="407"/>
      <c r="N46" s="407"/>
      <c r="O46" s="407"/>
    </row>
    <row r="47" spans="1:15" s="410" customFormat="1" ht="21.6" customHeight="1" x14ac:dyDescent="0.25">
      <c r="A47" s="1370" t="s">
        <v>877</v>
      </c>
      <c r="B47" s="1356" t="s">
        <v>1480</v>
      </c>
      <c r="C47" s="403"/>
      <c r="D47" s="404"/>
      <c r="E47" s="404"/>
      <c r="F47" s="404"/>
      <c r="G47" s="404"/>
      <c r="H47" s="403"/>
      <c r="I47" s="412"/>
      <c r="J47" s="425"/>
      <c r="L47" s="407"/>
      <c r="M47" s="407"/>
      <c r="N47" s="407"/>
      <c r="O47" s="407"/>
    </row>
    <row r="48" spans="1:15" s="410" customFormat="1" ht="21.6" customHeight="1" x14ac:dyDescent="0.2">
      <c r="A48" s="1369" t="s">
        <v>1911</v>
      </c>
      <c r="B48" s="1352" t="s">
        <v>1670</v>
      </c>
      <c r="C48" s="709" t="s">
        <v>241</v>
      </c>
      <c r="D48" s="499"/>
      <c r="E48" s="404"/>
      <c r="F48" s="404"/>
      <c r="G48" s="1376"/>
      <c r="H48" s="709" t="s">
        <v>241</v>
      </c>
      <c r="I48" s="412"/>
      <c r="J48" s="425"/>
      <c r="L48" s="407"/>
      <c r="M48" s="407"/>
      <c r="N48" s="407"/>
      <c r="O48" s="407"/>
    </row>
    <row r="49" spans="1:15" s="410" customFormat="1" ht="21.6" customHeight="1" x14ac:dyDescent="0.2">
      <c r="A49" s="1369" t="s">
        <v>1988</v>
      </c>
      <c r="B49" s="1352" t="s">
        <v>1671</v>
      </c>
      <c r="C49" s="709" t="s">
        <v>241</v>
      </c>
      <c r="D49" s="499"/>
      <c r="E49" s="404"/>
      <c r="F49" s="404"/>
      <c r="G49" s="1376"/>
      <c r="H49" s="709" t="s">
        <v>241</v>
      </c>
      <c r="I49" s="412"/>
      <c r="J49" s="425"/>
      <c r="L49" s="407"/>
      <c r="M49" s="407"/>
      <c r="N49" s="407"/>
      <c r="O49" s="407"/>
    </row>
    <row r="50" spans="1:15" s="410" customFormat="1" ht="21.6" customHeight="1" x14ac:dyDescent="0.2">
      <c r="A50" s="1369" t="s">
        <v>1989</v>
      </c>
      <c r="B50" s="1352" t="s">
        <v>1996</v>
      </c>
      <c r="C50" s="709" t="s">
        <v>241</v>
      </c>
      <c r="D50" s="499"/>
      <c r="E50" s="404"/>
      <c r="F50" s="404"/>
      <c r="G50" s="1376"/>
      <c r="H50" s="709" t="s">
        <v>241</v>
      </c>
      <c r="I50" s="412"/>
      <c r="J50" s="425"/>
      <c r="L50" s="407"/>
      <c r="M50" s="407"/>
      <c r="N50" s="407"/>
      <c r="O50" s="407"/>
    </row>
    <row r="51" spans="1:15" s="410" customFormat="1" ht="21.6" customHeight="1" x14ac:dyDescent="0.2">
      <c r="A51" s="1369" t="s">
        <v>894</v>
      </c>
      <c r="B51" s="1352" t="s">
        <v>1672</v>
      </c>
      <c r="C51" s="709" t="s">
        <v>241</v>
      </c>
      <c r="D51" s="499"/>
      <c r="E51" s="404"/>
      <c r="F51" s="404"/>
      <c r="G51" s="1376"/>
      <c r="H51" s="709" t="s">
        <v>241</v>
      </c>
      <c r="I51" s="412"/>
      <c r="J51" s="425"/>
      <c r="L51" s="407"/>
      <c r="M51" s="407"/>
      <c r="N51" s="407"/>
      <c r="O51" s="407"/>
    </row>
    <row r="52" spans="1:15" s="410" customFormat="1" ht="21.6" customHeight="1" x14ac:dyDescent="0.2">
      <c r="A52" s="1369" t="s">
        <v>900</v>
      </c>
      <c r="B52" s="1352" t="s">
        <v>2193</v>
      </c>
      <c r="C52" s="709" t="s">
        <v>241</v>
      </c>
      <c r="D52" s="499"/>
      <c r="E52" s="1374"/>
      <c r="F52" s="404"/>
      <c r="G52" s="1376"/>
      <c r="H52" s="709" t="s">
        <v>241</v>
      </c>
      <c r="I52" s="412"/>
      <c r="J52" s="425"/>
      <c r="L52" s="407"/>
      <c r="M52" s="407"/>
      <c r="N52" s="407"/>
      <c r="O52" s="407"/>
    </row>
    <row r="53" spans="1:15" s="410" customFormat="1" ht="21.6" customHeight="1" x14ac:dyDescent="0.2">
      <c r="A53" s="1369" t="s">
        <v>1990</v>
      </c>
      <c r="B53" s="1352" t="s">
        <v>2192</v>
      </c>
      <c r="C53" s="709" t="s">
        <v>241</v>
      </c>
      <c r="D53" s="499"/>
      <c r="E53" s="1374"/>
      <c r="F53" s="404"/>
      <c r="G53" s="1376"/>
      <c r="H53" s="709" t="s">
        <v>241</v>
      </c>
      <c r="I53" s="412"/>
      <c r="J53" s="425"/>
      <c r="L53" s="407"/>
      <c r="M53" s="407"/>
      <c r="N53" s="407"/>
      <c r="O53" s="407"/>
    </row>
    <row r="54" spans="1:15" s="410" customFormat="1" ht="21.6" customHeight="1" x14ac:dyDescent="0.25">
      <c r="A54" s="1387" t="s">
        <v>1499</v>
      </c>
      <c r="B54" s="1362" t="s">
        <v>1500</v>
      </c>
      <c r="C54" s="403"/>
      <c r="D54" s="404"/>
      <c r="E54" s="404"/>
      <c r="F54" s="404"/>
      <c r="G54" s="404"/>
      <c r="H54" s="403"/>
      <c r="I54" s="412"/>
      <c r="J54" s="425"/>
    </row>
    <row r="55" spans="1:15" s="410" customFormat="1" ht="21.6" customHeight="1" x14ac:dyDescent="0.2">
      <c r="A55" s="1369" t="s">
        <v>965</v>
      </c>
      <c r="B55" s="1352" t="s">
        <v>1673</v>
      </c>
      <c r="C55" s="709" t="s">
        <v>241</v>
      </c>
      <c r="D55" s="499"/>
      <c r="E55" s="404"/>
      <c r="F55" s="404"/>
      <c r="G55" s="404"/>
      <c r="H55" s="709" t="s">
        <v>241</v>
      </c>
      <c r="I55" s="412"/>
      <c r="J55" s="425"/>
    </row>
    <row r="56" spans="1:15" s="410" customFormat="1" ht="21.6" customHeight="1" thickBot="1" x14ac:dyDescent="0.25">
      <c r="A56" s="1370" t="s">
        <v>967</v>
      </c>
      <c r="B56" s="1352" t="s">
        <v>1667</v>
      </c>
      <c r="C56" s="403"/>
      <c r="D56" s="404"/>
      <c r="E56" s="404"/>
      <c r="F56" s="866">
        <f>'P_CVA.MELD (neu)'!F13</f>
        <v>0</v>
      </c>
      <c r="G56" s="404"/>
      <c r="H56" s="403"/>
      <c r="I56" s="412"/>
      <c r="J56" s="425"/>
    </row>
    <row r="57" spans="1:15" s="410" customFormat="1" ht="21.6" customHeight="1" thickTop="1" x14ac:dyDescent="0.2">
      <c r="A57" s="1369" t="s">
        <v>1316</v>
      </c>
      <c r="B57" s="1352" t="s">
        <v>1674</v>
      </c>
      <c r="C57" s="709" t="s">
        <v>241</v>
      </c>
      <c r="D57" s="499"/>
      <c r="E57" s="404"/>
      <c r="F57" s="404"/>
      <c r="G57" s="404"/>
      <c r="H57" s="709" t="s">
        <v>241</v>
      </c>
      <c r="I57" s="412"/>
      <c r="J57" s="425"/>
    </row>
    <row r="58" spans="1:15" s="410" customFormat="1" ht="21.6" customHeight="1" x14ac:dyDescent="0.2">
      <c r="A58" s="1369" t="s">
        <v>1002</v>
      </c>
      <c r="B58" s="1352" t="s">
        <v>1675</v>
      </c>
      <c r="C58" s="709" t="s">
        <v>241</v>
      </c>
      <c r="D58" s="499"/>
      <c r="E58" s="1374"/>
      <c r="F58" s="404"/>
      <c r="G58" s="404"/>
      <c r="H58" s="709" t="s">
        <v>241</v>
      </c>
      <c r="I58" s="412"/>
      <c r="J58" s="425"/>
    </row>
    <row r="59" spans="1:15" s="410" customFormat="1" ht="21.6" customHeight="1" x14ac:dyDescent="0.25">
      <c r="A59" s="1387" t="s">
        <v>1187</v>
      </c>
      <c r="B59" s="1354" t="s">
        <v>1484</v>
      </c>
      <c r="C59" s="403"/>
      <c r="D59" s="865"/>
      <c r="E59" s="404"/>
      <c r="F59" s="404"/>
      <c r="G59" s="404"/>
      <c r="H59" s="403"/>
      <c r="I59" s="412"/>
      <c r="J59" s="425"/>
      <c r="L59" s="407"/>
      <c r="M59" s="407"/>
      <c r="N59" s="407"/>
      <c r="O59" s="407"/>
    </row>
    <row r="60" spans="1:15" s="410" customFormat="1" ht="21.6" customHeight="1" x14ac:dyDescent="0.2">
      <c r="A60" s="1372" t="s">
        <v>1189</v>
      </c>
      <c r="B60" s="1360" t="s">
        <v>2177</v>
      </c>
      <c r="C60" s="709" t="s">
        <v>241</v>
      </c>
      <c r="D60" s="499"/>
      <c r="E60" s="1374"/>
      <c r="F60" s="404"/>
      <c r="G60" s="404"/>
      <c r="H60" s="709" t="s">
        <v>241</v>
      </c>
      <c r="I60" s="412"/>
      <c r="J60" s="425"/>
      <c r="L60" s="407"/>
      <c r="M60" s="407"/>
      <c r="N60" s="407"/>
      <c r="O60" s="407"/>
    </row>
    <row r="61" spans="1:15" s="410" customFormat="1" ht="21.6" customHeight="1" x14ac:dyDescent="0.2">
      <c r="A61" s="1372" t="s">
        <v>1323</v>
      </c>
      <c r="B61" s="1360" t="s">
        <v>2178</v>
      </c>
      <c r="C61" s="709"/>
      <c r="D61" s="499"/>
      <c r="E61" s="1374"/>
      <c r="F61" s="404"/>
      <c r="G61" s="404"/>
      <c r="H61" s="709"/>
      <c r="I61" s="412"/>
      <c r="J61" s="425"/>
      <c r="L61" s="407"/>
      <c r="M61" s="407"/>
      <c r="N61" s="407"/>
      <c r="O61" s="407"/>
    </row>
    <row r="62" spans="1:15" s="410" customFormat="1" ht="21.6" customHeight="1" x14ac:dyDescent="0.2">
      <c r="A62" s="1369">
        <v>5.3</v>
      </c>
      <c r="B62" s="1352" t="s">
        <v>1998</v>
      </c>
      <c r="C62" s="709" t="s">
        <v>241</v>
      </c>
      <c r="D62" s="499"/>
      <c r="E62" s="404"/>
      <c r="F62" s="404"/>
      <c r="G62" s="404"/>
      <c r="H62" s="709" t="s">
        <v>241</v>
      </c>
      <c r="I62" s="412"/>
      <c r="J62" s="425"/>
      <c r="L62" s="407"/>
      <c r="M62" s="407"/>
      <c r="N62" s="407"/>
      <c r="O62" s="407"/>
    </row>
    <row r="63" spans="1:15" s="410" customFormat="1" ht="21.6" customHeight="1" x14ac:dyDescent="0.2">
      <c r="A63" s="1372" t="s">
        <v>2005</v>
      </c>
      <c r="B63" s="1357" t="s">
        <v>1997</v>
      </c>
      <c r="C63" s="709" t="s">
        <v>241</v>
      </c>
      <c r="D63" s="499"/>
      <c r="E63" s="404"/>
      <c r="F63" s="404"/>
      <c r="G63" s="404"/>
      <c r="H63" s="709" t="s">
        <v>241</v>
      </c>
      <c r="I63" s="412"/>
      <c r="J63" s="425"/>
      <c r="L63" s="407"/>
      <c r="M63" s="407"/>
      <c r="N63" s="407"/>
      <c r="O63" s="407"/>
    </row>
    <row r="64" spans="1:15" s="410" customFormat="1" ht="21.6" customHeight="1" x14ac:dyDescent="0.2">
      <c r="A64" s="1372" t="s">
        <v>2017</v>
      </c>
      <c r="B64" s="1357" t="s">
        <v>2000</v>
      </c>
      <c r="C64" s="709" t="s">
        <v>241</v>
      </c>
      <c r="D64" s="499"/>
      <c r="E64" s="404"/>
      <c r="F64" s="404"/>
      <c r="G64" s="404"/>
      <c r="H64" s="709" t="s">
        <v>241</v>
      </c>
      <c r="I64" s="412"/>
      <c r="J64" s="425"/>
      <c r="L64" s="407"/>
      <c r="M64" s="407"/>
      <c r="N64" s="407"/>
      <c r="O64" s="407"/>
    </row>
    <row r="65" spans="1:15" s="410" customFormat="1" ht="21.6" customHeight="1" x14ac:dyDescent="0.2">
      <c r="A65" s="1372" t="s">
        <v>2018</v>
      </c>
      <c r="B65" s="1357" t="s">
        <v>1999</v>
      </c>
      <c r="C65" s="709" t="s">
        <v>241</v>
      </c>
      <c r="D65" s="499"/>
      <c r="E65" s="404"/>
      <c r="F65" s="404"/>
      <c r="G65" s="404"/>
      <c r="H65" s="709" t="s">
        <v>241</v>
      </c>
      <c r="I65" s="412"/>
      <c r="J65" s="425"/>
      <c r="L65" s="407"/>
      <c r="M65" s="407"/>
      <c r="N65" s="407"/>
      <c r="O65" s="407"/>
    </row>
    <row r="66" spans="1:15" s="410" customFormat="1" ht="21.6" customHeight="1" x14ac:dyDescent="0.2">
      <c r="A66" s="1372" t="s">
        <v>2019</v>
      </c>
      <c r="B66" s="1357" t="s">
        <v>2001</v>
      </c>
      <c r="C66" s="709" t="s">
        <v>241</v>
      </c>
      <c r="D66" s="499"/>
      <c r="E66" s="404"/>
      <c r="F66" s="404"/>
      <c r="G66" s="404"/>
      <c r="H66" s="709" t="s">
        <v>241</v>
      </c>
      <c r="I66" s="412"/>
      <c r="J66" s="425"/>
      <c r="L66" s="407"/>
      <c r="M66" s="407"/>
      <c r="N66" s="407"/>
      <c r="O66" s="407"/>
    </row>
    <row r="67" spans="1:15" s="410" customFormat="1" ht="21.6" customHeight="1" x14ac:dyDescent="0.2">
      <c r="A67" s="1372" t="s">
        <v>2020</v>
      </c>
      <c r="B67" s="1357" t="s">
        <v>2002</v>
      </c>
      <c r="C67" s="709" t="s">
        <v>241</v>
      </c>
      <c r="D67" s="499"/>
      <c r="E67" s="404"/>
      <c r="F67" s="404"/>
      <c r="G67" s="404"/>
      <c r="H67" s="709" t="s">
        <v>241</v>
      </c>
      <c r="I67" s="412"/>
      <c r="J67" s="425"/>
      <c r="L67" s="407"/>
      <c r="M67" s="407"/>
      <c r="N67" s="407"/>
      <c r="O67" s="407"/>
    </row>
    <row r="68" spans="1:15" s="410" customFormat="1" ht="21.6" customHeight="1" x14ac:dyDescent="0.2">
      <c r="A68" s="1372" t="s">
        <v>2021</v>
      </c>
      <c r="B68" s="1357" t="s">
        <v>2003</v>
      </c>
      <c r="C68" s="709" t="s">
        <v>241</v>
      </c>
      <c r="D68" s="499"/>
      <c r="E68" s="404"/>
      <c r="F68" s="404"/>
      <c r="G68" s="404"/>
      <c r="H68" s="709" t="s">
        <v>241</v>
      </c>
      <c r="I68" s="412"/>
      <c r="J68" s="425"/>
      <c r="L68" s="407"/>
      <c r="M68" s="407"/>
      <c r="N68" s="407"/>
      <c r="O68" s="407"/>
    </row>
    <row r="69" spans="1:15" s="410" customFormat="1" ht="21.6" customHeight="1" x14ac:dyDescent="0.2">
      <c r="A69" s="1372" t="s">
        <v>2022</v>
      </c>
      <c r="B69" s="1357" t="s">
        <v>2004</v>
      </c>
      <c r="C69" s="709" t="s">
        <v>241</v>
      </c>
      <c r="D69" s="499"/>
      <c r="E69" s="404"/>
      <c r="F69" s="404"/>
      <c r="G69" s="404"/>
      <c r="H69" s="709" t="s">
        <v>241</v>
      </c>
      <c r="I69" s="412"/>
      <c r="J69" s="425"/>
      <c r="L69" s="407"/>
      <c r="M69" s="407"/>
      <c r="N69" s="407"/>
      <c r="O69" s="407"/>
    </row>
    <row r="70" spans="1:15" s="410" customFormat="1" ht="21.6" customHeight="1" x14ac:dyDescent="0.2">
      <c r="A70" s="1372" t="s">
        <v>2035</v>
      </c>
      <c r="B70" s="1357" t="s">
        <v>2179</v>
      </c>
      <c r="C70" s="709" t="s">
        <v>241</v>
      </c>
      <c r="D70" s="499"/>
      <c r="E70" s="1374"/>
      <c r="F70" s="404"/>
      <c r="G70" s="404"/>
      <c r="H70" s="709" t="s">
        <v>241</v>
      </c>
      <c r="I70" s="412"/>
      <c r="J70" s="425"/>
      <c r="L70" s="407"/>
      <c r="M70" s="407"/>
      <c r="N70" s="407"/>
      <c r="O70" s="407"/>
    </row>
    <row r="71" spans="1:15" s="410" customFormat="1" ht="21.6" customHeight="1" x14ac:dyDescent="0.2">
      <c r="A71" s="1369">
        <v>5.4</v>
      </c>
      <c r="B71" s="1352" t="s">
        <v>1668</v>
      </c>
      <c r="C71" s="709" t="s">
        <v>241</v>
      </c>
      <c r="D71" s="499"/>
      <c r="E71" s="404"/>
      <c r="F71" s="404"/>
      <c r="G71" s="404"/>
      <c r="H71" s="709" t="s">
        <v>241</v>
      </c>
      <c r="I71" s="412"/>
      <c r="J71" s="425"/>
      <c r="L71" s="407"/>
      <c r="M71" s="407"/>
      <c r="N71" s="407"/>
      <c r="O71" s="407"/>
    </row>
    <row r="72" spans="1:15" ht="20.85" customHeight="1" x14ac:dyDescent="0.2">
      <c r="A72" s="1372" t="s">
        <v>2023</v>
      </c>
      <c r="B72" s="1359" t="s">
        <v>1736</v>
      </c>
      <c r="C72" s="709" t="s">
        <v>241</v>
      </c>
      <c r="D72" s="499"/>
      <c r="E72" s="1374"/>
      <c r="F72" s="404"/>
      <c r="G72" s="404"/>
      <c r="H72" s="709" t="s">
        <v>241</v>
      </c>
    </row>
    <row r="73" spans="1:15" ht="21.6" customHeight="1" x14ac:dyDescent="0.2">
      <c r="A73" s="1372" t="s">
        <v>2024</v>
      </c>
      <c r="B73" s="1359" t="s">
        <v>1741</v>
      </c>
      <c r="C73" s="709" t="s">
        <v>241</v>
      </c>
      <c r="D73" s="499"/>
      <c r="E73" s="865"/>
      <c r="F73" s="404"/>
      <c r="G73" s="404"/>
      <c r="H73" s="709" t="s">
        <v>241</v>
      </c>
    </row>
    <row r="74" spans="1:15" ht="21.6" customHeight="1" x14ac:dyDescent="0.2">
      <c r="A74" s="1372" t="s">
        <v>2025</v>
      </c>
      <c r="B74" s="1359" t="s">
        <v>1742</v>
      </c>
      <c r="C74" s="709" t="s">
        <v>241</v>
      </c>
      <c r="D74" s="499"/>
      <c r="E74" s="865"/>
      <c r="F74" s="404"/>
      <c r="G74" s="404"/>
      <c r="H74" s="709" t="s">
        <v>241</v>
      </c>
    </row>
    <row r="75" spans="1:15" ht="21.6" customHeight="1" x14ac:dyDescent="0.2">
      <c r="A75" s="1372" t="s">
        <v>2026</v>
      </c>
      <c r="B75" s="1359" t="s">
        <v>1743</v>
      </c>
      <c r="C75" s="709" t="s">
        <v>241</v>
      </c>
      <c r="D75" s="499"/>
      <c r="E75" s="865"/>
      <c r="F75" s="404"/>
      <c r="G75" s="404"/>
      <c r="H75" s="709" t="s">
        <v>241</v>
      </c>
    </row>
    <row r="76" spans="1:15" ht="21.6" customHeight="1" x14ac:dyDescent="0.2">
      <c r="A76" s="1372" t="s">
        <v>2027</v>
      </c>
      <c r="B76" s="1359" t="s">
        <v>1744</v>
      </c>
      <c r="C76" s="709" t="s">
        <v>241</v>
      </c>
      <c r="D76" s="499"/>
      <c r="E76" s="865"/>
      <c r="F76" s="404"/>
      <c r="G76" s="404"/>
      <c r="H76" s="709" t="s">
        <v>241</v>
      </c>
    </row>
    <row r="77" spans="1:15" s="410" customFormat="1" ht="21.6" customHeight="1" x14ac:dyDescent="0.2">
      <c r="A77" s="1369">
        <v>5.5</v>
      </c>
      <c r="B77" s="1352" t="s">
        <v>1669</v>
      </c>
      <c r="C77" s="709" t="s">
        <v>241</v>
      </c>
      <c r="D77" s="499"/>
      <c r="E77" s="1374"/>
      <c r="F77" s="404"/>
      <c r="G77" s="404"/>
      <c r="H77" s="709" t="s">
        <v>241</v>
      </c>
      <c r="I77" s="412"/>
      <c r="J77" s="425"/>
      <c r="L77" s="407"/>
      <c r="M77" s="407"/>
      <c r="N77" s="407"/>
      <c r="O77" s="407"/>
    </row>
    <row r="78" spans="1:15" ht="21.6" customHeight="1" x14ac:dyDescent="0.25">
      <c r="A78" s="1388">
        <v>6</v>
      </c>
      <c r="B78" s="1354" t="s">
        <v>2196</v>
      </c>
      <c r="C78" s="709" t="s">
        <v>241</v>
      </c>
      <c r="D78" s="499"/>
      <c r="E78" s="1374"/>
      <c r="F78" s="404"/>
      <c r="G78" s="404"/>
      <c r="H78" s="709" t="s">
        <v>241</v>
      </c>
    </row>
    <row r="79" spans="1:15" s="410" customFormat="1" ht="21.6" customHeight="1" x14ac:dyDescent="0.25">
      <c r="A79" s="1387">
        <v>7</v>
      </c>
      <c r="B79" s="1354" t="s">
        <v>1991</v>
      </c>
      <c r="C79" s="403"/>
      <c r="D79" s="865"/>
      <c r="E79" s="404"/>
      <c r="F79" s="404"/>
      <c r="G79" s="404"/>
      <c r="H79" s="403"/>
      <c r="I79" s="412"/>
      <c r="J79" s="425"/>
    </row>
    <row r="80" spans="1:15" s="410" customFormat="1" ht="21.6" customHeight="1" x14ac:dyDescent="0.2">
      <c r="A80" s="1372" t="s">
        <v>2036</v>
      </c>
      <c r="B80" s="1352" t="s">
        <v>2197</v>
      </c>
      <c r="C80" s="709" t="s">
        <v>241</v>
      </c>
      <c r="D80" s="499"/>
      <c r="E80" s="1374"/>
      <c r="F80" s="404"/>
      <c r="G80" s="404"/>
      <c r="H80" s="709" t="s">
        <v>241</v>
      </c>
      <c r="I80" s="412"/>
      <c r="J80" s="425"/>
    </row>
    <row r="81" spans="1:10" s="410" customFormat="1" ht="21.6" customHeight="1" x14ac:dyDescent="0.2">
      <c r="A81" s="1372" t="s">
        <v>2037</v>
      </c>
      <c r="B81" s="1352" t="s">
        <v>1979</v>
      </c>
      <c r="C81" s="709" t="s">
        <v>241</v>
      </c>
      <c r="D81" s="499"/>
      <c r="E81" s="404"/>
      <c r="F81" s="404"/>
      <c r="G81" s="404"/>
      <c r="H81" s="709" t="s">
        <v>241</v>
      </c>
      <c r="I81" s="412"/>
      <c r="J81" s="425"/>
    </row>
    <row r="82" spans="1:10" s="410" customFormat="1" ht="7.5" customHeight="1" x14ac:dyDescent="0.2">
      <c r="A82" s="1208"/>
      <c r="B82" s="1358"/>
      <c r="C82" s="12"/>
      <c r="D82" s="234"/>
      <c r="E82" s="234"/>
      <c r="F82" s="234"/>
      <c r="G82" s="234"/>
      <c r="H82" s="28"/>
      <c r="I82" s="412"/>
      <c r="J82" s="425"/>
    </row>
    <row r="83" spans="1:10" s="410" customFormat="1" ht="18.75" customHeight="1" x14ac:dyDescent="0.2">
      <c r="A83" s="1207"/>
      <c r="B83" s="26" t="str">
        <f>"Version: "&amp;D95</f>
        <v>Version: 3.03.E0</v>
      </c>
      <c r="C83" s="9"/>
      <c r="D83" s="1"/>
      <c r="E83" s="1"/>
      <c r="F83" s="1"/>
      <c r="G83" s="1"/>
      <c r="H83" s="235" t="s">
        <v>25</v>
      </c>
      <c r="I83" s="407"/>
      <c r="J83" s="409"/>
    </row>
    <row r="84" spans="1:10" s="410" customFormat="1" ht="18.75" customHeight="1" x14ac:dyDescent="0.2">
      <c r="A84" s="1207"/>
      <c r="B84" s="26"/>
      <c r="C84" s="9"/>
      <c r="D84" s="1"/>
      <c r="E84" s="1"/>
      <c r="F84" s="1"/>
      <c r="G84" s="1"/>
      <c r="H84" s="235"/>
      <c r="I84" s="407"/>
      <c r="J84" s="409"/>
    </row>
    <row r="85" spans="1:10" s="410" customFormat="1" ht="18.75" customHeight="1" x14ac:dyDescent="0.2">
      <c r="A85" s="1207"/>
      <c r="B85" s="26"/>
      <c r="C85" s="9"/>
      <c r="D85" s="1"/>
      <c r="E85" s="1"/>
      <c r="F85" s="1"/>
      <c r="G85" s="1"/>
      <c r="H85" s="235"/>
      <c r="I85" s="407"/>
      <c r="J85" s="409"/>
    </row>
    <row r="86" spans="1:10" s="410" customFormat="1" x14ac:dyDescent="0.2">
      <c r="A86" s="1207"/>
      <c r="B86" s="407"/>
      <c r="C86" s="407"/>
      <c r="D86" s="407"/>
      <c r="E86" s="407"/>
      <c r="F86" s="407"/>
      <c r="G86" s="407"/>
      <c r="H86" s="407"/>
      <c r="I86" s="407"/>
      <c r="J86" s="409"/>
    </row>
    <row r="87" spans="1:10" s="410" customFormat="1" x14ac:dyDescent="0.2">
      <c r="A87" s="1207"/>
      <c r="B87" s="407" t="s">
        <v>1227</v>
      </c>
      <c r="C87" s="407"/>
      <c r="D87" s="407"/>
      <c r="E87" s="407"/>
      <c r="F87" s="407"/>
      <c r="G87" s="407"/>
      <c r="H87" s="407"/>
      <c r="I87" s="407"/>
      <c r="J87" s="425"/>
    </row>
    <row r="88" spans="1:10" s="410" customFormat="1" x14ac:dyDescent="0.2">
      <c r="A88" s="1207"/>
      <c r="B88" s="407" t="s">
        <v>1228</v>
      </c>
      <c r="C88" s="407"/>
      <c r="D88" s="407"/>
      <c r="E88" s="407"/>
      <c r="F88" s="407"/>
      <c r="G88" s="407"/>
      <c r="H88" s="407"/>
      <c r="I88" s="407"/>
      <c r="J88" s="409"/>
    </row>
    <row r="89" spans="1:10" s="410" customFormat="1" x14ac:dyDescent="0.2">
      <c r="A89" s="1207"/>
      <c r="B89" s="407" t="s">
        <v>1229</v>
      </c>
      <c r="C89" s="407"/>
      <c r="D89" s="407"/>
      <c r="E89" s="407"/>
      <c r="F89" s="407"/>
      <c r="G89" s="407"/>
      <c r="H89" s="407"/>
      <c r="I89" s="407"/>
      <c r="J89" s="409"/>
    </row>
    <row r="90" spans="1:10" s="410" customFormat="1" x14ac:dyDescent="0.2">
      <c r="A90" s="1207"/>
      <c r="B90" s="407"/>
      <c r="C90" s="407"/>
      <c r="D90" s="407"/>
      <c r="E90" s="407"/>
      <c r="F90" s="407"/>
      <c r="G90" s="407"/>
      <c r="H90" s="407"/>
      <c r="I90" s="407"/>
      <c r="J90" s="409"/>
    </row>
    <row r="92" spans="1:10" s="410" customFormat="1" x14ac:dyDescent="0.2">
      <c r="A92" s="1207"/>
      <c r="B92" s="939"/>
      <c r="C92" s="445" t="s">
        <v>24</v>
      </c>
      <c r="D92" s="446" t="str">
        <f>G2</f>
        <v>XXXXXX</v>
      </c>
      <c r="E92" s="407"/>
      <c r="F92" s="407"/>
      <c r="G92" s="407"/>
      <c r="H92" s="407"/>
      <c r="I92" s="407"/>
      <c r="J92" s="409"/>
    </row>
    <row r="93" spans="1:10" s="410" customFormat="1" x14ac:dyDescent="0.2">
      <c r="A93" s="1207"/>
      <c r="B93" s="447"/>
      <c r="C93" s="412"/>
      <c r="D93" s="448" t="str">
        <f>G1</f>
        <v>P_CRSABIS_OPT</v>
      </c>
      <c r="E93" s="407"/>
      <c r="F93" s="407"/>
      <c r="G93" s="407"/>
      <c r="H93" s="407"/>
      <c r="I93" s="407"/>
      <c r="J93" s="409"/>
    </row>
    <row r="94" spans="1:10" s="410" customFormat="1" x14ac:dyDescent="0.2">
      <c r="A94" s="1207"/>
      <c r="B94" s="447"/>
      <c r="C94" s="412"/>
      <c r="D94" s="448" t="str">
        <f>G3</f>
        <v>DD.MM.YYYY</v>
      </c>
      <c r="E94" s="407"/>
      <c r="F94" s="407"/>
      <c r="G94" s="407"/>
      <c r="H94" s="407"/>
      <c r="I94" s="407"/>
      <c r="J94" s="409"/>
    </row>
    <row r="95" spans="1:10" s="410" customFormat="1" x14ac:dyDescent="0.2">
      <c r="A95" s="1207"/>
      <c r="B95" s="447"/>
      <c r="C95" s="412"/>
      <c r="D95" s="449" t="s">
        <v>1230</v>
      </c>
      <c r="E95" s="407"/>
      <c r="F95" s="407"/>
      <c r="G95" s="407"/>
      <c r="H95" s="407"/>
      <c r="I95" s="407"/>
      <c r="J95" s="409"/>
    </row>
    <row r="96" spans="1:10" s="410" customFormat="1" x14ac:dyDescent="0.2">
      <c r="A96" s="1207"/>
      <c r="B96" s="447"/>
      <c r="C96" s="412"/>
      <c r="D96" s="450" t="str">
        <f>F13</f>
        <v>col. 03</v>
      </c>
      <c r="E96" s="407"/>
      <c r="F96" s="407"/>
      <c r="G96" s="407"/>
      <c r="H96" s="407"/>
      <c r="I96" s="407"/>
      <c r="J96" s="409"/>
    </row>
    <row r="97" spans="1:10" s="410" customFormat="1" x14ac:dyDescent="0.2">
      <c r="A97" s="1207"/>
      <c r="B97" s="447"/>
      <c r="C97" s="412"/>
      <c r="D97" s="451">
        <f>COUNTIF(I9:J77,"ERROR")</f>
        <v>0</v>
      </c>
      <c r="E97" s="407"/>
      <c r="F97" s="407"/>
      <c r="G97" s="407"/>
      <c r="H97" s="407"/>
      <c r="I97" s="407"/>
      <c r="J97" s="409"/>
    </row>
    <row r="98" spans="1:10" s="410" customFormat="1" x14ac:dyDescent="0.2">
      <c r="A98" s="1207"/>
      <c r="B98" s="431"/>
      <c r="C98" s="452"/>
      <c r="D98" s="453">
        <f>COUNTIF(I9:J77,"Warning")</f>
        <v>0</v>
      </c>
      <c r="E98" s="407"/>
      <c r="F98" s="407"/>
      <c r="G98" s="407"/>
      <c r="H98" s="407"/>
      <c r="I98" s="407"/>
      <c r="J98" s="409"/>
    </row>
    <row r="99" spans="1:10" s="410" customFormat="1" x14ac:dyDescent="0.2">
      <c r="A99" s="1207"/>
      <c r="B99" s="454"/>
      <c r="C99" s="407"/>
      <c r="D99" s="407"/>
      <c r="E99" s="407"/>
      <c r="F99" s="407"/>
      <c r="G99" s="407"/>
      <c r="H99" s="407"/>
      <c r="I99" s="407"/>
      <c r="J99" s="409"/>
    </row>
  </sheetData>
  <phoneticPr fontId="7" type="noConversion"/>
  <dataValidations count="3">
    <dataValidation type="list" showInputMessage="1" showErrorMessage="1" sqref="D80:D81 D19:D21 D29:D32 D15:D17 D24:D27 D36:D39 D60:D78 E42 D43:D46 D48:D53 D55 D57:D58" xr:uid="{498D65D2-24C4-4584-8836-16FCA6F5E9C9}">
      <formula1>"Y,N"</formula1>
    </dataValidation>
    <dataValidation type="list" allowBlank="1" showInputMessage="1" showErrorMessage="1" sqref="D11:D13" xr:uid="{C4DA87D9-AC1E-4757-A21C-011BC0A9D841}">
      <formula1>"1,2,3,4,5"</formula1>
    </dataValidation>
    <dataValidation type="decimal" operator="notEqual" allowBlank="1" showInputMessage="1" showErrorMessage="1" errorTitle="Zahl" error="Hier ist nur ein Zahlenwert erlaubt" sqref="C83:C85" xr:uid="{D84A1144-74D2-43D4-9FCD-4545D35918EF}">
      <formula1>9.99999999999999</formula1>
    </dataValidation>
  </dataValidations>
  <printOptions gridLines="1" gridLinesSet="0"/>
  <pageMargins left="0.59055118110236227" right="0.59055118110236227" top="0.78740157480314965" bottom="0.39370078740157483" header="0.31496062992125984" footer="0.31496062992125984"/>
  <pageSetup paperSize="9" scale="52" fitToHeight="3" pageOrder="overThenDown" orientation="portrait" r:id="rId1"/>
  <headerFooter alignWithMargins="0">
    <oddFooter>&amp;L&amp;"Arial,Fett"SNB Confidential&amp;C&amp;D&amp;RPage &amp;P</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2">
    <tabColor rgb="FF92D050"/>
  </sheetPr>
  <dimension ref="A1:AQ102"/>
  <sheetViews>
    <sheetView zoomScale="85" zoomScaleNormal="85" workbookViewId="0">
      <selection activeCell="W5" sqref="W5"/>
    </sheetView>
  </sheetViews>
  <sheetFormatPr defaultColWidth="11.42578125" defaultRowHeight="12.75" x14ac:dyDescent="0.2"/>
  <cols>
    <col min="1" max="1" width="8.42578125" style="616" customWidth="1"/>
    <col min="2" max="2" width="60.5703125" style="616" bestFit="1" customWidth="1"/>
    <col min="3" max="3" width="4.5703125" style="616" customWidth="1"/>
    <col min="4" max="7" width="20.42578125" style="616" customWidth="1"/>
    <col min="8" max="9" width="15.5703125" style="616" customWidth="1"/>
    <col min="10" max="11" width="16.42578125" style="616" customWidth="1"/>
    <col min="12" max="12" width="15.5703125" style="616" customWidth="1"/>
    <col min="13" max="13" width="17.5703125" style="616" customWidth="1"/>
    <col min="14" max="14" width="20.42578125" style="616" customWidth="1"/>
    <col min="15" max="15" width="24.5703125" style="616" customWidth="1"/>
    <col min="16" max="20" width="17.5703125" style="616" customWidth="1"/>
    <col min="21" max="27" width="20.42578125" style="616" customWidth="1"/>
    <col min="28" max="28" width="4.5703125" style="616" customWidth="1"/>
    <col min="29" max="30" width="11.42578125" style="616" customWidth="1"/>
    <col min="31" max="32" width="10.5703125" style="616" bestFit="1" customWidth="1"/>
    <col min="33" max="35" width="14.5703125" style="616" bestFit="1" customWidth="1"/>
    <col min="36" max="36" width="10.5703125" style="616" bestFit="1" customWidth="1"/>
    <col min="37" max="37" width="15.42578125" style="616" bestFit="1" customWidth="1"/>
    <col min="38" max="38" width="33.5703125" style="332" customWidth="1"/>
    <col min="39" max="16384" width="11.42578125" style="616"/>
  </cols>
  <sheetData>
    <row r="1" spans="1:38" ht="25.35" customHeight="1" x14ac:dyDescent="0.25">
      <c r="A1" s="441"/>
      <c r="B1" s="441"/>
      <c r="C1" s="441"/>
      <c r="E1" s="639" t="s">
        <v>1953</v>
      </c>
      <c r="G1" s="618"/>
      <c r="H1" s="618"/>
      <c r="I1" s="618"/>
      <c r="J1" s="618"/>
      <c r="K1" s="618"/>
      <c r="L1" s="618"/>
      <c r="M1" s="640" t="s">
        <v>100</v>
      </c>
      <c r="N1" s="618"/>
      <c r="O1" s="641" t="s">
        <v>2247</v>
      </c>
      <c r="P1" s="618"/>
      <c r="Q1" s="639" t="s">
        <v>1953</v>
      </c>
      <c r="R1" s="618"/>
      <c r="S1" s="618"/>
      <c r="T1" s="618"/>
      <c r="U1" s="618"/>
      <c r="V1" s="618"/>
      <c r="W1" s="618"/>
      <c r="X1" s="618"/>
      <c r="Y1" s="618"/>
      <c r="Z1" s="640" t="s">
        <v>100</v>
      </c>
      <c r="AA1" s="641" t="str">
        <f>O1</f>
        <v>P_CRSABIS_12</v>
      </c>
      <c r="AB1" s="441"/>
    </row>
    <row r="2" spans="1:38" ht="25.35" customHeight="1" x14ac:dyDescent="0.25">
      <c r="A2" s="441"/>
      <c r="B2" s="618"/>
      <c r="C2" s="441"/>
      <c r="E2" s="642" t="s">
        <v>99</v>
      </c>
      <c r="G2" s="618"/>
      <c r="H2" s="618"/>
      <c r="I2" s="618"/>
      <c r="J2" s="618"/>
      <c r="K2" s="618"/>
      <c r="L2" s="442"/>
      <c r="M2" s="640" t="s">
        <v>98</v>
      </c>
      <c r="N2" s="618"/>
      <c r="O2" s="643" t="s">
        <v>119</v>
      </c>
      <c r="P2" s="618"/>
      <c r="Q2" s="642" t="s">
        <v>99</v>
      </c>
      <c r="R2" s="441"/>
      <c r="S2" s="618"/>
      <c r="T2" s="618"/>
      <c r="U2" s="618"/>
      <c r="V2" s="618"/>
      <c r="W2" s="618"/>
      <c r="X2" s="618"/>
      <c r="Y2" s="618"/>
      <c r="Z2" s="640" t="s">
        <v>98</v>
      </c>
      <c r="AA2" s="643" t="str">
        <f>O2</f>
        <v>XXXXXX</v>
      </c>
      <c r="AB2" s="441"/>
    </row>
    <row r="3" spans="1:38" ht="25.35" customHeight="1" x14ac:dyDescent="0.25">
      <c r="A3" s="441"/>
      <c r="B3" s="618"/>
      <c r="C3" s="441"/>
      <c r="E3" s="644" t="s">
        <v>97</v>
      </c>
      <c r="G3" s="618"/>
      <c r="H3" s="618"/>
      <c r="I3" s="618"/>
      <c r="L3" s="442"/>
      <c r="M3" s="640" t="s">
        <v>96</v>
      </c>
      <c r="N3" s="618"/>
      <c r="O3" s="645" t="s">
        <v>121</v>
      </c>
      <c r="P3" s="618"/>
      <c r="Q3" s="644" t="s">
        <v>97</v>
      </c>
      <c r="R3" s="441"/>
      <c r="S3" s="618"/>
      <c r="T3" s="618"/>
      <c r="U3" s="618"/>
      <c r="V3" s="618"/>
      <c r="W3" s="618"/>
      <c r="X3" s="618"/>
      <c r="Y3" s="618"/>
      <c r="Z3" s="640" t="s">
        <v>96</v>
      </c>
      <c r="AA3" s="645" t="str">
        <f>O3</f>
        <v>DD.MM.YYYY</v>
      </c>
      <c r="AB3" s="441"/>
    </row>
    <row r="4" spans="1:38" ht="25.35" customHeight="1" x14ac:dyDescent="0.25">
      <c r="A4" s="441"/>
      <c r="B4" s="618"/>
      <c r="C4" s="441"/>
      <c r="E4" s="620" t="s">
        <v>1450</v>
      </c>
      <c r="G4" s="618"/>
      <c r="J4" s="618"/>
      <c r="K4" s="618"/>
      <c r="L4" s="442"/>
      <c r="M4" s="646"/>
      <c r="N4" s="618"/>
      <c r="O4" s="647"/>
      <c r="P4" s="618"/>
      <c r="Q4" s="620" t="s">
        <v>1450</v>
      </c>
      <c r="R4" s="618"/>
      <c r="S4" s="618"/>
      <c r="T4" s="618"/>
      <c r="U4" s="618"/>
      <c r="V4" s="618"/>
      <c r="W4" s="618"/>
      <c r="X4" s="618"/>
      <c r="Y4" s="618"/>
      <c r="Z4" s="618"/>
      <c r="AA4" s="618"/>
      <c r="AB4" s="441"/>
    </row>
    <row r="5" spans="1:38" ht="25.35" customHeight="1" x14ac:dyDescent="0.2">
      <c r="A5" s="441"/>
      <c r="B5" s="106" t="s">
        <v>2250</v>
      </c>
      <c r="C5" s="441"/>
      <c r="E5" s="616" t="s">
        <v>94</v>
      </c>
      <c r="F5" s="618"/>
      <c r="G5" s="618"/>
      <c r="H5" s="618"/>
      <c r="I5" s="618"/>
      <c r="J5" s="618"/>
      <c r="K5" s="618"/>
      <c r="L5" s="618"/>
      <c r="M5" s="618"/>
      <c r="N5" s="618"/>
      <c r="O5" s="618"/>
      <c r="P5" s="618"/>
      <c r="Q5" s="616" t="s">
        <v>94</v>
      </c>
      <c r="R5" s="618"/>
      <c r="S5" s="618"/>
      <c r="T5" s="618"/>
      <c r="U5" s="618"/>
      <c r="V5" s="618"/>
      <c r="W5" s="618"/>
      <c r="X5" s="618"/>
      <c r="Y5" s="618"/>
      <c r="Z5" s="618"/>
      <c r="AA5" s="618"/>
      <c r="AB5" s="441"/>
    </row>
    <row r="6" spans="1:38" ht="25.35" customHeight="1" x14ac:dyDescent="0.2">
      <c r="A6" s="441"/>
      <c r="B6" s="618"/>
      <c r="C6" s="441"/>
      <c r="D6" s="441"/>
      <c r="AB6" s="441"/>
    </row>
    <row r="7" spans="1:38" ht="25.35" customHeight="1" x14ac:dyDescent="0.2">
      <c r="A7" s="648"/>
      <c r="B7" s="618"/>
      <c r="C7" s="648"/>
      <c r="D7" s="648"/>
      <c r="F7" s="618"/>
      <c r="G7" s="618"/>
      <c r="H7" s="618"/>
      <c r="I7" s="618"/>
      <c r="J7" s="618"/>
      <c r="K7" s="618"/>
      <c r="L7" s="618"/>
      <c r="M7" s="649"/>
      <c r="N7" s="618"/>
      <c r="O7" s="649"/>
      <c r="P7" s="618"/>
      <c r="R7" s="649"/>
      <c r="S7" s="618"/>
      <c r="T7" s="618"/>
      <c r="U7" s="618"/>
      <c r="V7" s="618"/>
      <c r="W7" s="618"/>
      <c r="X7" s="618"/>
      <c r="Y7" s="618"/>
      <c r="Z7" s="618"/>
      <c r="AA7" s="618"/>
      <c r="AB7" s="648"/>
    </row>
    <row r="8" spans="1:38" ht="17.850000000000001" customHeight="1" x14ac:dyDescent="0.25">
      <c r="A8" s="650"/>
      <c r="B8" s="651"/>
      <c r="C8" s="652"/>
      <c r="D8" s="653" t="s">
        <v>93</v>
      </c>
      <c r="E8" s="653" t="s">
        <v>92</v>
      </c>
      <c r="F8" s="654" t="s">
        <v>90</v>
      </c>
      <c r="G8" s="621"/>
      <c r="H8" s="608"/>
      <c r="I8" s="609"/>
      <c r="J8" s="609"/>
      <c r="K8" s="609"/>
      <c r="L8" s="609"/>
      <c r="M8" s="610"/>
      <c r="N8" s="977"/>
      <c r="O8" s="655" t="s">
        <v>90</v>
      </c>
      <c r="P8" s="1678" t="s">
        <v>89</v>
      </c>
      <c r="Q8" s="1679"/>
      <c r="R8" s="1679"/>
      <c r="S8" s="1679"/>
      <c r="T8" s="1680"/>
      <c r="U8" s="1465" t="s">
        <v>88</v>
      </c>
      <c r="V8" s="1465" t="s">
        <v>87</v>
      </c>
      <c r="W8" s="656" t="s">
        <v>86</v>
      </c>
      <c r="X8" s="621"/>
      <c r="Y8" s="621"/>
      <c r="Z8" s="621"/>
      <c r="AA8" s="657" t="s">
        <v>85</v>
      </c>
      <c r="AB8" s="652"/>
      <c r="AC8" s="658"/>
      <c r="AD8" s="658"/>
    </row>
    <row r="9" spans="1:38" ht="48.75" customHeight="1" x14ac:dyDescent="0.25">
      <c r="A9" s="659"/>
      <c r="B9" s="639"/>
      <c r="C9" s="660"/>
      <c r="D9" s="661" t="s">
        <v>83</v>
      </c>
      <c r="E9" s="661" t="s">
        <v>82</v>
      </c>
      <c r="F9" s="662" t="s">
        <v>80</v>
      </c>
      <c r="G9" s="622" t="s">
        <v>1354</v>
      </c>
      <c r="H9" s="629" t="s">
        <v>1404</v>
      </c>
      <c r="I9" s="626"/>
      <c r="J9" s="630"/>
      <c r="K9" s="626"/>
      <c r="L9" s="630"/>
      <c r="M9" s="631"/>
      <c r="N9" s="978" t="s">
        <v>1356</v>
      </c>
      <c r="O9" s="631" t="s">
        <v>80</v>
      </c>
      <c r="P9" s="1681" t="s">
        <v>1402</v>
      </c>
      <c r="Q9" s="1682"/>
      <c r="R9" s="1682"/>
      <c r="S9" s="1683"/>
      <c r="T9" s="663" t="s">
        <v>1764</v>
      </c>
      <c r="U9" s="1466" t="s">
        <v>79</v>
      </c>
      <c r="V9" s="1466" t="s">
        <v>78</v>
      </c>
      <c r="W9" s="664" t="s">
        <v>77</v>
      </c>
      <c r="X9" s="622"/>
      <c r="Y9" s="622"/>
      <c r="Z9" s="622"/>
      <c r="AA9" s="661" t="s">
        <v>76</v>
      </c>
      <c r="AB9" s="660"/>
      <c r="AC9" s="658"/>
      <c r="AD9" s="658"/>
    </row>
    <row r="10" spans="1:38" ht="17.850000000000001" customHeight="1" x14ac:dyDescent="0.25">
      <c r="A10" s="659"/>
      <c r="B10" s="639"/>
      <c r="C10" s="660"/>
      <c r="D10" s="661" t="s">
        <v>75</v>
      </c>
      <c r="E10" s="661" t="s">
        <v>74</v>
      </c>
      <c r="F10" s="662" t="s">
        <v>73</v>
      </c>
      <c r="G10" s="622"/>
      <c r="H10" s="632" t="s">
        <v>1437</v>
      </c>
      <c r="I10" s="626"/>
      <c r="J10" s="626"/>
      <c r="K10" s="626"/>
      <c r="L10" s="626"/>
      <c r="M10" s="633"/>
      <c r="N10" s="978"/>
      <c r="O10" s="631" t="s">
        <v>72</v>
      </c>
      <c r="P10" s="1464" t="s">
        <v>71</v>
      </c>
      <c r="Q10" s="665"/>
      <c r="R10" s="666" t="s">
        <v>70</v>
      </c>
      <c r="S10" s="1684" t="s">
        <v>1465</v>
      </c>
      <c r="T10" s="1684" t="s">
        <v>1439</v>
      </c>
      <c r="U10" s="1466" t="s">
        <v>68</v>
      </c>
      <c r="V10" s="1466" t="s">
        <v>1458</v>
      </c>
      <c r="W10" s="664" t="s">
        <v>1464</v>
      </c>
      <c r="X10" s="622"/>
      <c r="Y10" s="622"/>
      <c r="Z10" s="622"/>
      <c r="AA10" s="664"/>
      <c r="AB10" s="660"/>
      <c r="AC10" s="658"/>
      <c r="AD10" s="658"/>
    </row>
    <row r="11" spans="1:38" ht="17.850000000000001" customHeight="1" x14ac:dyDescent="0.25">
      <c r="A11" s="659"/>
      <c r="B11" s="639"/>
      <c r="C11" s="660"/>
      <c r="D11" s="661"/>
      <c r="E11" s="661" t="s">
        <v>65</v>
      </c>
      <c r="F11" s="662" t="s">
        <v>64</v>
      </c>
      <c r="G11" s="622"/>
      <c r="H11" s="634" t="s">
        <v>1438</v>
      </c>
      <c r="I11" s="627"/>
      <c r="J11" s="635"/>
      <c r="K11" s="627"/>
      <c r="L11" s="627"/>
      <c r="M11" s="636"/>
      <c r="N11" s="978"/>
      <c r="O11" s="631" t="s">
        <v>63</v>
      </c>
      <c r="P11" s="667" t="s">
        <v>62</v>
      </c>
      <c r="Q11" s="663"/>
      <c r="R11" s="663" t="s">
        <v>61</v>
      </c>
      <c r="S11" s="1685"/>
      <c r="T11" s="1685"/>
      <c r="U11" s="1466" t="s">
        <v>59</v>
      </c>
      <c r="V11" s="1466" t="s">
        <v>58</v>
      </c>
      <c r="X11" s="622"/>
      <c r="Y11" s="622"/>
      <c r="Z11" s="622"/>
      <c r="AA11" s="664"/>
      <c r="AB11" s="660"/>
      <c r="AC11" s="658"/>
      <c r="AD11" s="658"/>
    </row>
    <row r="12" spans="1:38" ht="85.35" customHeight="1" x14ac:dyDescent="0.2">
      <c r="A12" s="441"/>
      <c r="B12" s="441"/>
      <c r="C12" s="660"/>
      <c r="D12" s="664"/>
      <c r="E12" s="664" t="s">
        <v>57</v>
      </c>
      <c r="F12" s="662" t="s">
        <v>56</v>
      </c>
      <c r="G12" s="623"/>
      <c r="H12" s="628" t="s">
        <v>34</v>
      </c>
      <c r="I12" s="628">
        <v>0.1</v>
      </c>
      <c r="J12" s="637">
        <v>0.2</v>
      </c>
      <c r="K12" s="628">
        <v>0.4</v>
      </c>
      <c r="L12" s="638">
        <v>0.5</v>
      </c>
      <c r="M12" s="637">
        <v>1</v>
      </c>
      <c r="N12" s="979"/>
      <c r="O12" s="631" t="s">
        <v>55</v>
      </c>
      <c r="P12" s="668" t="s">
        <v>54</v>
      </c>
      <c r="Q12" s="668" t="s">
        <v>53</v>
      </c>
      <c r="R12" s="668" t="s">
        <v>52</v>
      </c>
      <c r="S12" s="1685"/>
      <c r="T12" s="1685"/>
      <c r="U12" s="1466" t="s">
        <v>1466</v>
      </c>
      <c r="V12" s="1466" t="s">
        <v>1459</v>
      </c>
      <c r="W12" s="664"/>
      <c r="X12" s="622" t="s">
        <v>1354</v>
      </c>
      <c r="Y12" s="622" t="s">
        <v>1355</v>
      </c>
      <c r="Z12" s="622" t="s">
        <v>1356</v>
      </c>
      <c r="AA12" s="664"/>
      <c r="AB12" s="660"/>
      <c r="AC12" s="669"/>
      <c r="AD12" s="669"/>
    </row>
    <row r="13" spans="1:38" ht="25.35" customHeight="1" x14ac:dyDescent="0.2">
      <c r="A13" s="618"/>
      <c r="B13" s="649"/>
      <c r="C13" s="670"/>
      <c r="D13" s="624" t="s">
        <v>22</v>
      </c>
      <c r="E13" s="624" t="s">
        <v>21</v>
      </c>
      <c r="F13" s="624" t="s">
        <v>20</v>
      </c>
      <c r="G13" s="624" t="s">
        <v>19</v>
      </c>
      <c r="H13" s="624" t="s">
        <v>18</v>
      </c>
      <c r="I13" s="624" t="s">
        <v>17</v>
      </c>
      <c r="J13" s="624" t="s">
        <v>16</v>
      </c>
      <c r="K13" s="624" t="s">
        <v>15</v>
      </c>
      <c r="L13" s="624" t="s">
        <v>14</v>
      </c>
      <c r="M13" s="624" t="s">
        <v>13</v>
      </c>
      <c r="N13" s="624" t="s">
        <v>12</v>
      </c>
      <c r="O13" s="976" t="s">
        <v>11</v>
      </c>
      <c r="P13" s="624" t="s">
        <v>10</v>
      </c>
      <c r="Q13" s="624" t="s">
        <v>9</v>
      </c>
      <c r="R13" s="624" t="s">
        <v>8</v>
      </c>
      <c r="S13" s="624" t="s">
        <v>7</v>
      </c>
      <c r="T13" s="624" t="s">
        <v>6</v>
      </c>
      <c r="U13" s="624" t="s">
        <v>5</v>
      </c>
      <c r="V13" s="624" t="s">
        <v>1420</v>
      </c>
      <c r="W13" s="624" t="s">
        <v>1421</v>
      </c>
      <c r="X13" s="624" t="s">
        <v>1422</v>
      </c>
      <c r="Y13" s="624" t="s">
        <v>1423</v>
      </c>
      <c r="Z13" s="624" t="s">
        <v>1424</v>
      </c>
      <c r="AA13" s="624" t="s">
        <v>1425</v>
      </c>
      <c r="AB13" s="670"/>
      <c r="AC13" s="669"/>
      <c r="AD13" s="669"/>
      <c r="AE13" s="260" t="s">
        <v>47</v>
      </c>
      <c r="AF13" s="260" t="s">
        <v>46</v>
      </c>
      <c r="AG13" s="1463" t="s">
        <v>1749</v>
      </c>
      <c r="AH13" s="1463" t="s">
        <v>1750</v>
      </c>
      <c r="AI13" s="1463" t="s">
        <v>1751</v>
      </c>
      <c r="AJ13" s="260" t="s">
        <v>1752</v>
      </c>
      <c r="AK13" s="1463" t="s">
        <v>1753</v>
      </c>
      <c r="AL13" s="563" t="s">
        <v>1792</v>
      </c>
    </row>
    <row r="14" spans="1:38" ht="25.35" customHeight="1" thickBot="1" x14ac:dyDescent="0.25">
      <c r="A14" s="1010">
        <v>1</v>
      </c>
      <c r="B14" s="671" t="s">
        <v>39</v>
      </c>
      <c r="C14" s="1467" t="s">
        <v>241</v>
      </c>
      <c r="D14" s="292">
        <f>D25+D27+D29+D36+D47</f>
        <v>230000</v>
      </c>
      <c r="E14" s="292">
        <f t="shared" ref="E14:AA14" si="0">E25+E27+E29+E36+E47</f>
        <v>0</v>
      </c>
      <c r="F14" s="292">
        <f t="shared" si="0"/>
        <v>230000</v>
      </c>
      <c r="G14" s="292">
        <f t="shared" si="0"/>
        <v>0</v>
      </c>
      <c r="H14" s="292">
        <f t="shared" si="0"/>
        <v>0</v>
      </c>
      <c r="I14" s="292">
        <f t="shared" si="0"/>
        <v>0</v>
      </c>
      <c r="J14" s="292">
        <f t="shared" si="0"/>
        <v>0</v>
      </c>
      <c r="K14" s="292">
        <f t="shared" si="0"/>
        <v>0</v>
      </c>
      <c r="L14" s="292">
        <f t="shared" si="0"/>
        <v>0</v>
      </c>
      <c r="M14" s="292">
        <f t="shared" si="0"/>
        <v>0</v>
      </c>
      <c r="N14" s="614">
        <f t="shared" si="0"/>
        <v>0</v>
      </c>
      <c r="O14" s="981">
        <f t="shared" si="0"/>
        <v>230000</v>
      </c>
      <c r="P14" s="292">
        <f t="shared" si="0"/>
        <v>0</v>
      </c>
      <c r="Q14" s="292">
        <f t="shared" si="0"/>
        <v>0</v>
      </c>
      <c r="R14" s="292">
        <f t="shared" si="0"/>
        <v>0</v>
      </c>
      <c r="S14" s="292">
        <f t="shared" si="0"/>
        <v>0</v>
      </c>
      <c r="T14" s="292">
        <f t="shared" si="0"/>
        <v>0</v>
      </c>
      <c r="U14" s="292">
        <f t="shared" si="0"/>
        <v>230000</v>
      </c>
      <c r="V14" s="292">
        <f t="shared" si="0"/>
        <v>0</v>
      </c>
      <c r="W14" s="292">
        <f t="shared" si="0"/>
        <v>230000</v>
      </c>
      <c r="X14" s="292">
        <f t="shared" si="0"/>
        <v>0</v>
      </c>
      <c r="Y14" s="292">
        <f t="shared" si="0"/>
        <v>0</v>
      </c>
      <c r="Z14" s="292">
        <f t="shared" si="0"/>
        <v>0</v>
      </c>
      <c r="AA14" s="292">
        <f t="shared" si="0"/>
        <v>0</v>
      </c>
      <c r="AB14" s="1467" t="s">
        <v>241</v>
      </c>
      <c r="AC14" s="669"/>
      <c r="AD14" s="669"/>
      <c r="AE14" s="672" t="str">
        <f>IF(D14&gt;=0,"OK","ERROR")</f>
        <v>OK</v>
      </c>
      <c r="AF14" s="672" t="str">
        <f>IF(E14&lt;=0,"OK","ERROR")</f>
        <v>OK</v>
      </c>
      <c r="AG14" s="672" t="str">
        <f>IF(MIN(F14:O14)&gt;=0,"OK","ERROR")</f>
        <v>OK</v>
      </c>
      <c r="AH14" s="672" t="str">
        <f>IF(MAX(P14:S14)&lt;=0,"OK","ERROR")</f>
        <v>OK</v>
      </c>
      <c r="AI14" s="672" t="str">
        <f>IF(MIN(T14:U14)&gt;=0,"OK","ERROR")</f>
        <v>OK</v>
      </c>
      <c r="AJ14" s="672" t="str">
        <f>IF(V14&lt;=0,"OK","ERROR")</f>
        <v>OK</v>
      </c>
      <c r="AK14" s="672" t="str">
        <f>IF(MIN(W14:AA14)&gt;=0,"OK","ERROR")</f>
        <v>OK</v>
      </c>
    </row>
    <row r="15" spans="1:38" ht="25.35" customHeight="1" thickTop="1" thickBot="1" x14ac:dyDescent="0.25">
      <c r="A15" s="1010">
        <v>2</v>
      </c>
      <c r="B15" s="1468" t="s">
        <v>1496</v>
      </c>
      <c r="C15" s="1422" t="s">
        <v>241</v>
      </c>
      <c r="D15" s="1193"/>
      <c r="E15" s="1193"/>
      <c r="F15" s="923">
        <f>D15+E15</f>
        <v>0</v>
      </c>
      <c r="G15" s="1469"/>
      <c r="H15" s="1469"/>
      <c r="I15" s="1469"/>
      <c r="J15" s="1469"/>
      <c r="K15" s="1469"/>
      <c r="L15" s="1469"/>
      <c r="M15" s="1469"/>
      <c r="N15" s="1469"/>
      <c r="O15" s="915"/>
      <c r="P15" s="1469"/>
      <c r="Q15" s="1469"/>
      <c r="R15" s="1469"/>
      <c r="S15" s="1469"/>
      <c r="T15" s="1469"/>
      <c r="U15" s="1469"/>
      <c r="V15" s="1469"/>
      <c r="W15" s="1193"/>
      <c r="X15" s="1193"/>
      <c r="Y15" s="1193"/>
      <c r="Z15" s="1193"/>
      <c r="AA15" s="1193"/>
      <c r="AB15" s="1422" t="s">
        <v>241</v>
      </c>
      <c r="AC15" s="669"/>
      <c r="AD15" s="669"/>
      <c r="AE15" s="672" t="str">
        <f t="shared" ref="AE15:AE49" si="1">IF(D15&gt;=0,"OK","ERROR")</f>
        <v>OK</v>
      </c>
      <c r="AF15" s="672" t="str">
        <f t="shared" ref="AF15:AF49" si="2">IF(E15&lt;=0,"OK","ERROR")</f>
        <v>OK</v>
      </c>
      <c r="AG15" s="672" t="str">
        <f t="shared" ref="AG15:AG49" si="3">IF(MIN(F15:O15)&gt;=0,"OK","ERROR")</f>
        <v>OK</v>
      </c>
      <c r="AH15" s="672" t="str">
        <f t="shared" ref="AH15:AH49" si="4">IF(MAX(P15:S15)&lt;=0,"OK","ERROR")</f>
        <v>OK</v>
      </c>
      <c r="AI15" s="672" t="str">
        <f t="shared" ref="AI15:AI49" si="5">IF(MIN(T15:U15)&gt;=0,"OK","ERROR")</f>
        <v>OK</v>
      </c>
      <c r="AJ15" s="672" t="str">
        <f t="shared" ref="AJ15:AJ49" si="6">IF(V15&lt;=0,"OK","ERROR")</f>
        <v>OK</v>
      </c>
      <c r="AK15" s="672" t="str">
        <f t="shared" ref="AK15:AK49" si="7">IF(MIN(W15:AA15)&gt;=0,"OK","ERROR")</f>
        <v>OK</v>
      </c>
    </row>
    <row r="16" spans="1:38" ht="25.35" customHeight="1" thickTop="1" thickBot="1" x14ac:dyDescent="0.25">
      <c r="A16" s="1010">
        <v>3</v>
      </c>
      <c r="B16" s="1471" t="s">
        <v>1731</v>
      </c>
      <c r="C16" s="1422" t="s">
        <v>241</v>
      </c>
      <c r="D16" s="915"/>
      <c r="E16" s="915"/>
      <c r="F16" s="923">
        <f>D16+E16</f>
        <v>0</v>
      </c>
      <c r="G16" s="1469"/>
      <c r="H16" s="1469"/>
      <c r="I16" s="1469"/>
      <c r="J16" s="1469"/>
      <c r="K16" s="1469"/>
      <c r="L16" s="1469"/>
      <c r="M16" s="1469"/>
      <c r="N16" s="1469"/>
      <c r="O16" s="915"/>
      <c r="P16" s="1469"/>
      <c r="Q16" s="1469"/>
      <c r="R16" s="1469"/>
      <c r="S16" s="1469"/>
      <c r="T16" s="1469"/>
      <c r="U16" s="1469"/>
      <c r="V16" s="1469"/>
      <c r="W16" s="915"/>
      <c r="X16" s="915"/>
      <c r="Y16" s="915"/>
      <c r="Z16" s="915"/>
      <c r="AA16" s="915"/>
      <c r="AB16" s="1422" t="s">
        <v>241</v>
      </c>
      <c r="AC16" s="669"/>
      <c r="AD16" s="669"/>
      <c r="AE16" s="672" t="str">
        <f t="shared" si="1"/>
        <v>OK</v>
      </c>
      <c r="AF16" s="672" t="str">
        <f t="shared" si="2"/>
        <v>OK</v>
      </c>
      <c r="AG16" s="672" t="str">
        <f t="shared" si="3"/>
        <v>OK</v>
      </c>
      <c r="AH16" s="672" t="str">
        <f t="shared" si="4"/>
        <v>OK</v>
      </c>
      <c r="AI16" s="672" t="str">
        <f t="shared" si="5"/>
        <v>OK</v>
      </c>
      <c r="AJ16" s="672" t="str">
        <f t="shared" si="6"/>
        <v>OK</v>
      </c>
      <c r="AK16" s="672" t="str">
        <f t="shared" si="7"/>
        <v>OK</v>
      </c>
    </row>
    <row r="17" spans="1:43" ht="37.5" customHeight="1" thickTop="1" thickBot="1" x14ac:dyDescent="0.25">
      <c r="A17" s="1010">
        <v>4</v>
      </c>
      <c r="B17" s="673" t="s">
        <v>38</v>
      </c>
      <c r="C17" s="293"/>
      <c r="D17" s="292">
        <f>D18+D19+D20+D21+D22</f>
        <v>95470000</v>
      </c>
      <c r="E17" s="292">
        <f t="shared" ref="E17:AA17" si="8">E18+E19+E20+E21+E22</f>
        <v>0</v>
      </c>
      <c r="F17" s="292">
        <f t="shared" si="8"/>
        <v>95470000</v>
      </c>
      <c r="G17" s="292">
        <f t="shared" si="8"/>
        <v>0</v>
      </c>
      <c r="H17" s="292">
        <f t="shared" si="8"/>
        <v>0</v>
      </c>
      <c r="I17" s="292">
        <f t="shared" si="8"/>
        <v>0</v>
      </c>
      <c r="J17" s="292">
        <f t="shared" si="8"/>
        <v>0</v>
      </c>
      <c r="K17" s="292">
        <f t="shared" si="8"/>
        <v>0</v>
      </c>
      <c r="L17" s="292">
        <f t="shared" si="8"/>
        <v>0</v>
      </c>
      <c r="M17" s="292">
        <f t="shared" si="8"/>
        <v>0</v>
      </c>
      <c r="N17" s="292">
        <f t="shared" si="8"/>
        <v>0</v>
      </c>
      <c r="O17" s="292">
        <f t="shared" si="8"/>
        <v>95470000</v>
      </c>
      <c r="P17" s="1469"/>
      <c r="Q17" s="1469"/>
      <c r="R17" s="1469"/>
      <c r="S17" s="1469"/>
      <c r="T17" s="1469"/>
      <c r="U17" s="1469"/>
      <c r="V17" s="1469"/>
      <c r="W17" s="292">
        <f t="shared" si="8"/>
        <v>95230000</v>
      </c>
      <c r="X17" s="292">
        <f t="shared" si="8"/>
        <v>0</v>
      </c>
      <c r="Y17" s="292">
        <f t="shared" si="8"/>
        <v>0</v>
      </c>
      <c r="Z17" s="292">
        <f t="shared" si="8"/>
        <v>0</v>
      </c>
      <c r="AA17" s="292">
        <f t="shared" si="8"/>
        <v>240000</v>
      </c>
      <c r="AB17" s="293"/>
      <c r="AC17" s="669"/>
      <c r="AD17" s="669"/>
      <c r="AE17" s="672" t="str">
        <f t="shared" si="1"/>
        <v>OK</v>
      </c>
      <c r="AF17" s="672" t="str">
        <f t="shared" si="2"/>
        <v>OK</v>
      </c>
      <c r="AG17" s="672" t="str">
        <f t="shared" si="3"/>
        <v>OK</v>
      </c>
      <c r="AH17" s="672" t="str">
        <f t="shared" si="4"/>
        <v>OK</v>
      </c>
      <c r="AI17" s="672" t="str">
        <f t="shared" si="5"/>
        <v>OK</v>
      </c>
      <c r="AJ17" s="672" t="str">
        <f t="shared" si="6"/>
        <v>OK</v>
      </c>
      <c r="AK17" s="672" t="str">
        <f t="shared" si="7"/>
        <v>OK</v>
      </c>
    </row>
    <row r="18" spans="1:43" ht="25.35" customHeight="1" thickTop="1" thickBot="1" x14ac:dyDescent="0.25">
      <c r="A18" s="1010">
        <v>5</v>
      </c>
      <c r="B18" s="676" t="s">
        <v>37</v>
      </c>
      <c r="C18" s="293" t="s">
        <v>241</v>
      </c>
      <c r="D18" s="245">
        <v>95420000</v>
      </c>
      <c r="E18" s="245"/>
      <c r="F18" s="923">
        <f>D18+E18</f>
        <v>95420000</v>
      </c>
      <c r="G18" s="923">
        <f>G25+G27+G29+G36+G47</f>
        <v>0</v>
      </c>
      <c r="H18" s="1469"/>
      <c r="I18" s="1469"/>
      <c r="J18" s="1469"/>
      <c r="K18" s="1469"/>
      <c r="L18" s="1469"/>
      <c r="M18" s="1469"/>
      <c r="N18" s="1469"/>
      <c r="O18" s="923">
        <f>F18-H18-0.9*I18-0.8*J18-0.6*K18-0.5*L18</f>
        <v>95420000</v>
      </c>
      <c r="P18" s="1469"/>
      <c r="Q18" s="1469"/>
      <c r="R18" s="1469"/>
      <c r="S18" s="1469"/>
      <c r="T18" s="1469"/>
      <c r="U18" s="1469"/>
      <c r="V18" s="1469"/>
      <c r="W18" s="245">
        <v>95220000</v>
      </c>
      <c r="X18" s="923">
        <f>X25+X27+X29+X36+X47</f>
        <v>0</v>
      </c>
      <c r="Y18" s="1469"/>
      <c r="Z18" s="1469"/>
      <c r="AA18" s="245">
        <v>240000</v>
      </c>
      <c r="AB18" s="293" t="s">
        <v>241</v>
      </c>
      <c r="AC18" s="669"/>
      <c r="AD18" s="669"/>
      <c r="AE18" s="672" t="str">
        <f t="shared" si="1"/>
        <v>OK</v>
      </c>
      <c r="AF18" s="672" t="str">
        <f t="shared" si="2"/>
        <v>OK</v>
      </c>
      <c r="AG18" s="672" t="str">
        <f t="shared" si="3"/>
        <v>OK</v>
      </c>
      <c r="AH18" s="672" t="str">
        <f t="shared" si="4"/>
        <v>OK</v>
      </c>
      <c r="AI18" s="672" t="str">
        <f t="shared" si="5"/>
        <v>OK</v>
      </c>
      <c r="AJ18" s="672" t="str">
        <f t="shared" si="6"/>
        <v>OK</v>
      </c>
      <c r="AK18" s="672" t="str">
        <f t="shared" si="7"/>
        <v>OK</v>
      </c>
    </row>
    <row r="19" spans="1:43" ht="25.35" customHeight="1" thickTop="1" thickBot="1" x14ac:dyDescent="0.25">
      <c r="A19" s="1010">
        <v>6</v>
      </c>
      <c r="B19" s="676" t="s">
        <v>36</v>
      </c>
      <c r="C19" s="293" t="s">
        <v>241</v>
      </c>
      <c r="D19" s="245">
        <v>50000</v>
      </c>
      <c r="E19" s="245"/>
      <c r="F19" s="923">
        <f t="shared" ref="F19:F30" si="9">D19+E19</f>
        <v>50000</v>
      </c>
      <c r="G19" s="1469"/>
      <c r="H19" s="923">
        <f>H25+H27+H29+H36+H47</f>
        <v>0</v>
      </c>
      <c r="I19" s="923">
        <f t="shared" ref="I19:M19" si="10">I25+I27+I29+I36+I47</f>
        <v>0</v>
      </c>
      <c r="J19" s="923">
        <f t="shared" si="10"/>
        <v>0</v>
      </c>
      <c r="K19" s="923">
        <f t="shared" si="10"/>
        <v>0</v>
      </c>
      <c r="L19" s="923">
        <f t="shared" si="10"/>
        <v>0</v>
      </c>
      <c r="M19" s="923">
        <f t="shared" si="10"/>
        <v>0</v>
      </c>
      <c r="N19" s="1469"/>
      <c r="O19" s="923">
        <f t="shared" ref="O19:O22" si="11">F19-H19-0.9*I19-0.8*J19-0.6*K19-0.5*L19</f>
        <v>50000</v>
      </c>
      <c r="P19" s="1469"/>
      <c r="Q19" s="1469"/>
      <c r="R19" s="1469"/>
      <c r="S19" s="1469"/>
      <c r="T19" s="1469"/>
      <c r="U19" s="1469"/>
      <c r="V19" s="1469"/>
      <c r="W19" s="245">
        <v>10000</v>
      </c>
      <c r="X19" s="1469"/>
      <c r="Y19" s="923">
        <f>Y25+Y27+Y29+Y36+Y47</f>
        <v>0</v>
      </c>
      <c r="Z19" s="1469"/>
      <c r="AA19" s="916">
        <v>0</v>
      </c>
      <c r="AB19" s="293" t="s">
        <v>241</v>
      </c>
      <c r="AC19" s="669"/>
      <c r="AD19" s="669"/>
      <c r="AE19" s="672" t="str">
        <f t="shared" si="1"/>
        <v>OK</v>
      </c>
      <c r="AF19" s="672" t="str">
        <f t="shared" si="2"/>
        <v>OK</v>
      </c>
      <c r="AG19" s="672" t="str">
        <f t="shared" si="3"/>
        <v>OK</v>
      </c>
      <c r="AH19" s="672" t="str">
        <f t="shared" si="4"/>
        <v>OK</v>
      </c>
      <c r="AI19" s="672" t="str">
        <f t="shared" si="5"/>
        <v>OK</v>
      </c>
      <c r="AJ19" s="672" t="str">
        <f t="shared" si="6"/>
        <v>OK</v>
      </c>
      <c r="AK19" s="672" t="str">
        <f t="shared" si="7"/>
        <v>OK</v>
      </c>
    </row>
    <row r="20" spans="1:43" s="678" customFormat="1" ht="14.25" thickTop="1" thickBot="1" x14ac:dyDescent="0.25">
      <c r="A20" s="1010">
        <v>7</v>
      </c>
      <c r="B20" s="676" t="s">
        <v>1955</v>
      </c>
      <c r="C20" s="293" t="s">
        <v>241</v>
      </c>
      <c r="D20" s="245"/>
      <c r="E20" s="245"/>
      <c r="F20" s="923">
        <f t="shared" si="9"/>
        <v>0</v>
      </c>
      <c r="G20" s="1469"/>
      <c r="H20" s="1469"/>
      <c r="I20" s="1469"/>
      <c r="J20" s="1469"/>
      <c r="K20" s="1469"/>
      <c r="L20" s="1469"/>
      <c r="M20" s="1469"/>
      <c r="N20" s="915"/>
      <c r="O20" s="923">
        <f t="shared" si="11"/>
        <v>0</v>
      </c>
      <c r="P20" s="1469"/>
      <c r="Q20" s="1469"/>
      <c r="R20" s="1469"/>
      <c r="S20" s="1469"/>
      <c r="T20" s="1469"/>
      <c r="U20" s="1469"/>
      <c r="V20" s="1469"/>
      <c r="W20" s="245"/>
      <c r="X20" s="1469"/>
      <c r="Y20" s="1469"/>
      <c r="Z20" s="915"/>
      <c r="AA20" s="916"/>
      <c r="AB20" s="293" t="s">
        <v>241</v>
      </c>
      <c r="AC20" s="615"/>
      <c r="AD20" s="616"/>
      <c r="AE20" s="672" t="str">
        <f t="shared" si="1"/>
        <v>OK</v>
      </c>
      <c r="AF20" s="672" t="str">
        <f t="shared" si="2"/>
        <v>OK</v>
      </c>
      <c r="AG20" s="672" t="str">
        <f t="shared" si="3"/>
        <v>OK</v>
      </c>
      <c r="AH20" s="672" t="str">
        <f t="shared" si="4"/>
        <v>OK</v>
      </c>
      <c r="AI20" s="672" t="str">
        <f t="shared" si="5"/>
        <v>OK</v>
      </c>
      <c r="AJ20" s="672" t="str">
        <f t="shared" si="6"/>
        <v>OK</v>
      </c>
      <c r="AK20" s="672" t="str">
        <f t="shared" si="7"/>
        <v>OK</v>
      </c>
      <c r="AL20" s="332"/>
      <c r="AM20" s="616"/>
      <c r="AN20" s="616"/>
      <c r="AO20" s="616"/>
      <c r="AP20" s="616"/>
      <c r="AQ20" s="616"/>
    </row>
    <row r="21" spans="1:43" s="678" customFormat="1" ht="14.25" thickTop="1" thickBot="1" x14ac:dyDescent="0.25">
      <c r="A21" s="1010">
        <v>8</v>
      </c>
      <c r="B21" s="676" t="s">
        <v>1956</v>
      </c>
      <c r="C21" s="293" t="s">
        <v>241</v>
      </c>
      <c r="D21" s="245"/>
      <c r="E21" s="245"/>
      <c r="F21" s="923">
        <f t="shared" si="9"/>
        <v>0</v>
      </c>
      <c r="G21" s="1469"/>
      <c r="H21" s="1469"/>
      <c r="I21" s="1469"/>
      <c r="J21" s="1469"/>
      <c r="K21" s="1469"/>
      <c r="L21" s="1469"/>
      <c r="M21" s="1469"/>
      <c r="N21" s="915"/>
      <c r="O21" s="923">
        <f t="shared" si="11"/>
        <v>0</v>
      </c>
      <c r="P21" s="1469"/>
      <c r="Q21" s="1469"/>
      <c r="R21" s="1469"/>
      <c r="S21" s="1469"/>
      <c r="T21" s="1469"/>
      <c r="U21" s="1469"/>
      <c r="V21" s="1469"/>
      <c r="W21" s="245"/>
      <c r="X21" s="1469"/>
      <c r="Y21" s="1469"/>
      <c r="Z21" s="915"/>
      <c r="AA21" s="916"/>
      <c r="AB21" s="293" t="s">
        <v>241</v>
      </c>
      <c r="AC21" s="615"/>
      <c r="AD21" s="616"/>
      <c r="AE21" s="672" t="str">
        <f t="shared" si="1"/>
        <v>OK</v>
      </c>
      <c r="AF21" s="672" t="str">
        <f t="shared" si="2"/>
        <v>OK</v>
      </c>
      <c r="AG21" s="672" t="str">
        <f t="shared" si="3"/>
        <v>OK</v>
      </c>
      <c r="AH21" s="672" t="str">
        <f t="shared" si="4"/>
        <v>OK</v>
      </c>
      <c r="AI21" s="672" t="str">
        <f t="shared" si="5"/>
        <v>OK</v>
      </c>
      <c r="AJ21" s="672" t="str">
        <f t="shared" si="6"/>
        <v>OK</v>
      </c>
      <c r="AK21" s="672" t="str">
        <f t="shared" si="7"/>
        <v>OK</v>
      </c>
      <c r="AL21" s="332"/>
      <c r="AM21" s="616"/>
      <c r="AN21" s="616"/>
      <c r="AO21" s="616"/>
      <c r="AP21" s="616"/>
      <c r="AQ21" s="616"/>
    </row>
    <row r="22" spans="1:43" s="678" customFormat="1" ht="14.25" thickTop="1" thickBot="1" x14ac:dyDescent="0.25">
      <c r="A22" s="1010">
        <v>9</v>
      </c>
      <c r="B22" s="701" t="s">
        <v>1358</v>
      </c>
      <c r="C22" s="293" t="s">
        <v>241</v>
      </c>
      <c r="D22" s="245"/>
      <c r="E22" s="245"/>
      <c r="F22" s="923">
        <f t="shared" si="9"/>
        <v>0</v>
      </c>
      <c r="G22" s="1469"/>
      <c r="H22" s="1469"/>
      <c r="I22" s="1469"/>
      <c r="J22" s="1469"/>
      <c r="K22" s="1469"/>
      <c r="L22" s="1469"/>
      <c r="M22" s="1469"/>
      <c r="N22" s="915"/>
      <c r="O22" s="923">
        <f t="shared" si="11"/>
        <v>0</v>
      </c>
      <c r="P22" s="1469"/>
      <c r="Q22" s="1469"/>
      <c r="R22" s="1469"/>
      <c r="S22" s="1469"/>
      <c r="T22" s="1469"/>
      <c r="U22" s="1469"/>
      <c r="V22" s="1469"/>
      <c r="W22" s="245"/>
      <c r="X22" s="1469"/>
      <c r="Y22" s="1469"/>
      <c r="Z22" s="915"/>
      <c r="AA22" s="916"/>
      <c r="AB22" s="293" t="s">
        <v>241</v>
      </c>
      <c r="AC22" s="615"/>
      <c r="AD22" s="616"/>
      <c r="AE22" s="672" t="str">
        <f t="shared" si="1"/>
        <v>OK</v>
      </c>
      <c r="AF22" s="672" t="str">
        <f t="shared" si="2"/>
        <v>OK</v>
      </c>
      <c r="AG22" s="672" t="str">
        <f t="shared" si="3"/>
        <v>OK</v>
      </c>
      <c r="AH22" s="672" t="str">
        <f t="shared" si="4"/>
        <v>OK</v>
      </c>
      <c r="AI22" s="672" t="str">
        <f t="shared" si="5"/>
        <v>OK</v>
      </c>
      <c r="AJ22" s="672" t="str">
        <f t="shared" si="6"/>
        <v>OK</v>
      </c>
      <c r="AK22" s="672" t="str">
        <f t="shared" si="7"/>
        <v>OK</v>
      </c>
      <c r="AL22" s="332"/>
      <c r="AM22" s="616"/>
      <c r="AN22" s="616"/>
      <c r="AO22" s="616"/>
      <c r="AP22" s="616"/>
      <c r="AQ22" s="616"/>
    </row>
    <row r="23" spans="1:43" ht="60" customHeight="1" thickTop="1" thickBot="1" x14ac:dyDescent="0.25">
      <c r="A23" s="1010">
        <v>10</v>
      </c>
      <c r="B23" s="679" t="s">
        <v>1426</v>
      </c>
      <c r="C23" s="293"/>
      <c r="D23" s="920">
        <f>D24+D26+D28+D30+D31+D32+D33+D34+D35</f>
        <v>95100000</v>
      </c>
      <c r="E23" s="920">
        <f t="shared" ref="E23:AA23" si="12">E24+E26+E28+E30+E31+E32+E33+E34+E35</f>
        <v>0</v>
      </c>
      <c r="F23" s="921">
        <f t="shared" si="12"/>
        <v>95100000</v>
      </c>
      <c r="G23" s="921">
        <f t="shared" si="12"/>
        <v>0</v>
      </c>
      <c r="H23" s="920">
        <f t="shared" si="12"/>
        <v>40000</v>
      </c>
      <c r="I23" s="920">
        <f t="shared" si="12"/>
        <v>0</v>
      </c>
      <c r="J23" s="920">
        <f t="shared" si="12"/>
        <v>0</v>
      </c>
      <c r="K23" s="920">
        <f t="shared" si="12"/>
        <v>0</v>
      </c>
      <c r="L23" s="920">
        <f t="shared" si="12"/>
        <v>0</v>
      </c>
      <c r="M23" s="920">
        <f t="shared" si="12"/>
        <v>0</v>
      </c>
      <c r="N23" s="921">
        <f t="shared" si="12"/>
        <v>0</v>
      </c>
      <c r="O23" s="920">
        <f t="shared" si="12"/>
        <v>95060000</v>
      </c>
      <c r="P23" s="982">
        <f t="shared" si="12"/>
        <v>0</v>
      </c>
      <c r="Q23" s="920">
        <f t="shared" si="12"/>
        <v>0</v>
      </c>
      <c r="R23" s="920">
        <f t="shared" si="12"/>
        <v>0</v>
      </c>
      <c r="S23" s="920">
        <f t="shared" si="12"/>
        <v>0</v>
      </c>
      <c r="T23" s="920">
        <f t="shared" si="12"/>
        <v>0</v>
      </c>
      <c r="U23" s="920">
        <f t="shared" si="12"/>
        <v>95060000</v>
      </c>
      <c r="V23" s="920">
        <f t="shared" si="12"/>
        <v>0</v>
      </c>
      <c r="W23" s="920">
        <f t="shared" si="12"/>
        <v>95060000</v>
      </c>
      <c r="X23" s="921">
        <f t="shared" si="12"/>
        <v>0</v>
      </c>
      <c r="Y23" s="921">
        <f t="shared" si="12"/>
        <v>0</v>
      </c>
      <c r="Z23" s="921">
        <f t="shared" si="12"/>
        <v>0</v>
      </c>
      <c r="AA23" s="921">
        <f t="shared" si="12"/>
        <v>0</v>
      </c>
      <c r="AB23" s="293"/>
      <c r="AC23" s="615"/>
      <c r="AE23" s="672" t="str">
        <f t="shared" si="1"/>
        <v>OK</v>
      </c>
      <c r="AF23" s="672" t="str">
        <f t="shared" si="2"/>
        <v>OK</v>
      </c>
      <c r="AG23" s="672" t="str">
        <f t="shared" si="3"/>
        <v>OK</v>
      </c>
      <c r="AH23" s="672" t="str">
        <f t="shared" si="4"/>
        <v>OK</v>
      </c>
      <c r="AI23" s="672" t="str">
        <f t="shared" si="5"/>
        <v>OK</v>
      </c>
      <c r="AJ23" s="672" t="str">
        <f t="shared" si="6"/>
        <v>OK</v>
      </c>
      <c r="AK23" s="672" t="str">
        <f t="shared" si="7"/>
        <v>OK</v>
      </c>
    </row>
    <row r="24" spans="1:43" ht="25.35" customHeight="1" thickTop="1" thickBot="1" x14ac:dyDescent="0.25">
      <c r="A24" s="1010">
        <v>11</v>
      </c>
      <c r="B24" s="617" t="s">
        <v>1451</v>
      </c>
      <c r="C24" s="293" t="s">
        <v>241</v>
      </c>
      <c r="D24" s="904">
        <v>94890000</v>
      </c>
      <c r="E24" s="904"/>
      <c r="F24" s="923">
        <f t="shared" si="9"/>
        <v>94890000</v>
      </c>
      <c r="G24" s="924"/>
      <c r="H24" s="924">
        <v>0</v>
      </c>
      <c r="I24" s="924"/>
      <c r="J24" s="924"/>
      <c r="K24" s="924"/>
      <c r="L24" s="924"/>
      <c r="M24" s="924"/>
      <c r="N24" s="924"/>
      <c r="O24" s="923">
        <f>F24-H24-0.9*I24-0.8*J24-0.6*K24-0.5*L24</f>
        <v>94890000</v>
      </c>
      <c r="P24" s="1198"/>
      <c r="Q24" s="925"/>
      <c r="R24" s="925"/>
      <c r="S24" s="922">
        <f>P24+Q24+R24</f>
        <v>0</v>
      </c>
      <c r="T24" s="925"/>
      <c r="U24" s="922">
        <f>O24+S24+T24</f>
        <v>94890000</v>
      </c>
      <c r="V24" s="925"/>
      <c r="W24" s="922">
        <f>U24+V24</f>
        <v>94890000</v>
      </c>
      <c r="X24" s="924"/>
      <c r="Y24" s="924"/>
      <c r="Z24" s="924"/>
      <c r="AA24" s="925"/>
      <c r="AB24" s="293" t="s">
        <v>241</v>
      </c>
      <c r="AC24" s="615"/>
      <c r="AE24" s="672" t="str">
        <f t="shared" si="1"/>
        <v>OK</v>
      </c>
      <c r="AF24" s="672" t="str">
        <f t="shared" si="2"/>
        <v>OK</v>
      </c>
      <c r="AG24" s="672" t="str">
        <f t="shared" si="3"/>
        <v>OK</v>
      </c>
      <c r="AH24" s="672" t="str">
        <f t="shared" si="4"/>
        <v>OK</v>
      </c>
      <c r="AI24" s="672" t="str">
        <f t="shared" si="5"/>
        <v>OK</v>
      </c>
      <c r="AJ24" s="672" t="str">
        <f t="shared" si="6"/>
        <v>OK</v>
      </c>
      <c r="AK24" s="672" t="str">
        <f t="shared" si="7"/>
        <v>OK</v>
      </c>
      <c r="AL24" s="616"/>
    </row>
    <row r="25" spans="1:43" ht="25.35" customHeight="1" thickTop="1" thickBot="1" x14ac:dyDescent="0.25">
      <c r="A25" s="1010">
        <v>12</v>
      </c>
      <c r="B25" s="703" t="s">
        <v>1399</v>
      </c>
      <c r="C25" s="293" t="s">
        <v>241</v>
      </c>
      <c r="D25" s="916"/>
      <c r="E25" s="916"/>
      <c r="F25" s="923">
        <f t="shared" si="9"/>
        <v>0</v>
      </c>
      <c r="G25" s="1199"/>
      <c r="H25" s="1199"/>
      <c r="I25" s="1199"/>
      <c r="J25" s="1199"/>
      <c r="K25" s="1199"/>
      <c r="L25" s="1199"/>
      <c r="M25" s="1199"/>
      <c r="N25" s="1199"/>
      <c r="O25" s="923">
        <f t="shared" ref="O25:O46" si="13">F25-H25-0.9*I25-0.8*J25-0.6*K25-0.5*L25</f>
        <v>0</v>
      </c>
      <c r="P25" s="1200"/>
      <c r="Q25" s="917"/>
      <c r="R25" s="917"/>
      <c r="S25" s="922">
        <f t="shared" ref="S25:S35" si="14">P25+Q25+R25</f>
        <v>0</v>
      </c>
      <c r="T25" s="917"/>
      <c r="U25" s="922">
        <f t="shared" ref="U25:U46" si="15">O25+S25+T25</f>
        <v>0</v>
      </c>
      <c r="V25" s="917"/>
      <c r="W25" s="922">
        <f t="shared" ref="W25:W46" si="16">U25+V25</f>
        <v>0</v>
      </c>
      <c r="X25" s="1199"/>
      <c r="Y25" s="1199"/>
      <c r="Z25" s="1199"/>
      <c r="AA25" s="917"/>
      <c r="AB25" s="293" t="s">
        <v>241</v>
      </c>
      <c r="AC25" s="615"/>
      <c r="AE25" s="672" t="str">
        <f t="shared" si="1"/>
        <v>OK</v>
      </c>
      <c r="AF25" s="672" t="str">
        <f t="shared" si="2"/>
        <v>OK</v>
      </c>
      <c r="AG25" s="672" t="str">
        <f t="shared" si="3"/>
        <v>OK</v>
      </c>
      <c r="AH25" s="672" t="str">
        <f t="shared" si="4"/>
        <v>OK</v>
      </c>
      <c r="AI25" s="672" t="str">
        <f t="shared" si="5"/>
        <v>OK</v>
      </c>
      <c r="AJ25" s="672" t="str">
        <f t="shared" si="6"/>
        <v>OK</v>
      </c>
      <c r="AK25" s="672" t="str">
        <f t="shared" si="7"/>
        <v>OK</v>
      </c>
      <c r="AL25" s="332" t="b">
        <f>AA25&gt;=W25*0.6</f>
        <v>1</v>
      </c>
    </row>
    <row r="26" spans="1:43" ht="25.35" customHeight="1" thickTop="1" thickBot="1" x14ac:dyDescent="0.25">
      <c r="A26" s="1010">
        <v>13</v>
      </c>
      <c r="B26" s="617" t="s">
        <v>1452</v>
      </c>
      <c r="C26" s="293" t="s">
        <v>241</v>
      </c>
      <c r="D26" s="916"/>
      <c r="E26" s="916"/>
      <c r="F26" s="923">
        <f t="shared" si="9"/>
        <v>0</v>
      </c>
      <c r="G26" s="916"/>
      <c r="H26" s="916"/>
      <c r="I26" s="916"/>
      <c r="J26" s="916"/>
      <c r="K26" s="916"/>
      <c r="L26" s="916"/>
      <c r="M26" s="916"/>
      <c r="N26" s="916"/>
      <c r="O26" s="923">
        <f t="shared" si="13"/>
        <v>0</v>
      </c>
      <c r="P26" s="1200"/>
      <c r="Q26" s="917"/>
      <c r="R26" s="917"/>
      <c r="S26" s="922">
        <f t="shared" si="14"/>
        <v>0</v>
      </c>
      <c r="T26" s="917"/>
      <c r="U26" s="922">
        <f t="shared" si="15"/>
        <v>0</v>
      </c>
      <c r="V26" s="917"/>
      <c r="W26" s="922">
        <f t="shared" si="16"/>
        <v>0</v>
      </c>
      <c r="X26" s="916"/>
      <c r="Y26" s="916"/>
      <c r="Z26" s="916"/>
      <c r="AA26" s="915"/>
      <c r="AB26" s="293" t="s">
        <v>241</v>
      </c>
      <c r="AC26" s="615"/>
      <c r="AE26" s="672" t="str">
        <f t="shared" si="1"/>
        <v>OK</v>
      </c>
      <c r="AF26" s="672" t="str">
        <f t="shared" si="2"/>
        <v>OK</v>
      </c>
      <c r="AG26" s="672" t="str">
        <f t="shared" si="3"/>
        <v>OK</v>
      </c>
      <c r="AH26" s="672" t="str">
        <f t="shared" si="4"/>
        <v>OK</v>
      </c>
      <c r="AI26" s="672" t="str">
        <f t="shared" si="5"/>
        <v>OK</v>
      </c>
      <c r="AJ26" s="672" t="str">
        <f t="shared" si="6"/>
        <v>OK</v>
      </c>
      <c r="AK26" s="672" t="str">
        <f t="shared" si="7"/>
        <v>OK</v>
      </c>
      <c r="AL26" s="616"/>
    </row>
    <row r="27" spans="1:43" ht="25.35" customHeight="1" thickTop="1" thickBot="1" x14ac:dyDescent="0.25">
      <c r="A27" s="1010">
        <v>14</v>
      </c>
      <c r="B27" s="703" t="s">
        <v>1399</v>
      </c>
      <c r="C27" s="293" t="s">
        <v>241</v>
      </c>
      <c r="D27" s="916"/>
      <c r="E27" s="916"/>
      <c r="F27" s="923">
        <f t="shared" si="9"/>
        <v>0</v>
      </c>
      <c r="G27" s="1199"/>
      <c r="H27" s="1199"/>
      <c r="I27" s="1199"/>
      <c r="J27" s="1199"/>
      <c r="K27" s="1199"/>
      <c r="L27" s="1199"/>
      <c r="M27" s="1199"/>
      <c r="N27" s="1199"/>
      <c r="O27" s="923">
        <f t="shared" si="13"/>
        <v>0</v>
      </c>
      <c r="P27" s="1200"/>
      <c r="Q27" s="917"/>
      <c r="R27" s="917"/>
      <c r="S27" s="922">
        <f t="shared" si="14"/>
        <v>0</v>
      </c>
      <c r="T27" s="917"/>
      <c r="U27" s="922">
        <f t="shared" si="15"/>
        <v>0</v>
      </c>
      <c r="V27" s="917"/>
      <c r="W27" s="922">
        <f t="shared" si="16"/>
        <v>0</v>
      </c>
      <c r="X27" s="1199"/>
      <c r="Y27" s="1199"/>
      <c r="Z27" s="1199"/>
      <c r="AA27" s="915"/>
      <c r="AB27" s="293" t="s">
        <v>241</v>
      </c>
      <c r="AC27" s="615"/>
      <c r="AE27" s="672" t="str">
        <f t="shared" si="1"/>
        <v>OK</v>
      </c>
      <c r="AF27" s="672" t="str">
        <f t="shared" si="2"/>
        <v>OK</v>
      </c>
      <c r="AG27" s="672" t="str">
        <f t="shared" si="3"/>
        <v>OK</v>
      </c>
      <c r="AH27" s="672" t="str">
        <f t="shared" si="4"/>
        <v>OK</v>
      </c>
      <c r="AI27" s="672" t="str">
        <f t="shared" si="5"/>
        <v>OK</v>
      </c>
      <c r="AJ27" s="672" t="str">
        <f t="shared" si="6"/>
        <v>OK</v>
      </c>
      <c r="AK27" s="672" t="str">
        <f t="shared" si="7"/>
        <v>OK</v>
      </c>
      <c r="AL27" s="332" t="b">
        <f>AA27&gt;=W27*0.6</f>
        <v>1</v>
      </c>
    </row>
    <row r="28" spans="1:43" ht="25.35" customHeight="1" thickTop="1" thickBot="1" x14ac:dyDescent="0.25">
      <c r="A28" s="1010">
        <v>15</v>
      </c>
      <c r="B28" s="617" t="s">
        <v>1453</v>
      </c>
      <c r="C28" s="293" t="s">
        <v>241</v>
      </c>
      <c r="D28" s="916">
        <v>20000</v>
      </c>
      <c r="E28" s="916"/>
      <c r="F28" s="923">
        <f t="shared" si="9"/>
        <v>20000</v>
      </c>
      <c r="G28" s="916"/>
      <c r="H28" s="916">
        <v>0</v>
      </c>
      <c r="I28" s="916"/>
      <c r="J28" s="916"/>
      <c r="K28" s="916"/>
      <c r="L28" s="916"/>
      <c r="M28" s="916"/>
      <c r="N28" s="916"/>
      <c r="O28" s="923">
        <f t="shared" si="13"/>
        <v>20000</v>
      </c>
      <c r="P28" s="1200"/>
      <c r="Q28" s="917"/>
      <c r="R28" s="917"/>
      <c r="S28" s="922">
        <f t="shared" si="14"/>
        <v>0</v>
      </c>
      <c r="T28" s="917"/>
      <c r="U28" s="922">
        <f t="shared" si="15"/>
        <v>20000</v>
      </c>
      <c r="V28" s="917"/>
      <c r="W28" s="922">
        <f t="shared" si="16"/>
        <v>20000</v>
      </c>
      <c r="X28" s="916"/>
      <c r="Y28" s="916"/>
      <c r="Z28" s="916"/>
      <c r="AA28" s="915"/>
      <c r="AB28" s="293" t="s">
        <v>241</v>
      </c>
      <c r="AC28" s="615"/>
      <c r="AE28" s="672" t="str">
        <f t="shared" si="1"/>
        <v>OK</v>
      </c>
      <c r="AF28" s="672" t="str">
        <f t="shared" si="2"/>
        <v>OK</v>
      </c>
      <c r="AG28" s="672" t="str">
        <f t="shared" si="3"/>
        <v>OK</v>
      </c>
      <c r="AH28" s="672" t="str">
        <f t="shared" si="4"/>
        <v>OK</v>
      </c>
      <c r="AI28" s="672" t="str">
        <f t="shared" si="5"/>
        <v>OK</v>
      </c>
      <c r="AJ28" s="672" t="str">
        <f t="shared" si="6"/>
        <v>OK</v>
      </c>
      <c r="AK28" s="672" t="str">
        <f t="shared" si="7"/>
        <v>OK</v>
      </c>
      <c r="AL28" s="616"/>
    </row>
    <row r="29" spans="1:43" ht="25.35" customHeight="1" thickTop="1" thickBot="1" x14ac:dyDescent="0.25">
      <c r="A29" s="1010">
        <v>16</v>
      </c>
      <c r="B29" s="703" t="s">
        <v>1399</v>
      </c>
      <c r="C29" s="293" t="s">
        <v>241</v>
      </c>
      <c r="D29" s="916"/>
      <c r="E29" s="916"/>
      <c r="F29" s="923">
        <f t="shared" si="9"/>
        <v>0</v>
      </c>
      <c r="G29" s="1199"/>
      <c r="H29" s="1199"/>
      <c r="I29" s="1199"/>
      <c r="J29" s="1199"/>
      <c r="K29" s="1199"/>
      <c r="L29" s="1199"/>
      <c r="M29" s="1199"/>
      <c r="N29" s="1199"/>
      <c r="O29" s="923">
        <f t="shared" si="13"/>
        <v>0</v>
      </c>
      <c r="P29" s="1200"/>
      <c r="Q29" s="917"/>
      <c r="R29" s="917"/>
      <c r="S29" s="922">
        <f t="shared" si="14"/>
        <v>0</v>
      </c>
      <c r="T29" s="917"/>
      <c r="U29" s="922">
        <f t="shared" si="15"/>
        <v>0</v>
      </c>
      <c r="V29" s="917"/>
      <c r="W29" s="922">
        <f t="shared" si="16"/>
        <v>0</v>
      </c>
      <c r="X29" s="1199"/>
      <c r="Y29" s="1199"/>
      <c r="Z29" s="1199"/>
      <c r="AA29" s="915"/>
      <c r="AB29" s="293" t="s">
        <v>241</v>
      </c>
      <c r="AC29" s="615"/>
      <c r="AE29" s="672" t="str">
        <f t="shared" si="1"/>
        <v>OK</v>
      </c>
      <c r="AF29" s="672" t="str">
        <f t="shared" si="2"/>
        <v>OK</v>
      </c>
      <c r="AG29" s="672" t="str">
        <f t="shared" si="3"/>
        <v>OK</v>
      </c>
      <c r="AH29" s="672" t="str">
        <f t="shared" si="4"/>
        <v>OK</v>
      </c>
      <c r="AI29" s="672" t="str">
        <f t="shared" si="5"/>
        <v>OK</v>
      </c>
      <c r="AJ29" s="672" t="str">
        <f t="shared" si="6"/>
        <v>OK</v>
      </c>
      <c r="AK29" s="672" t="str">
        <f t="shared" si="7"/>
        <v>OK</v>
      </c>
      <c r="AL29" s="332" t="b">
        <f>AA29&gt;=W29*0.6</f>
        <v>1</v>
      </c>
    </row>
    <row r="30" spans="1:43" ht="25.35" customHeight="1" thickTop="1" thickBot="1" x14ac:dyDescent="0.25">
      <c r="A30" s="1010">
        <v>17</v>
      </c>
      <c r="B30" s="617" t="s">
        <v>1732</v>
      </c>
      <c r="C30" s="293" t="s">
        <v>241</v>
      </c>
      <c r="D30" s="916"/>
      <c r="E30" s="916"/>
      <c r="F30" s="923">
        <f t="shared" si="9"/>
        <v>0</v>
      </c>
      <c r="G30" s="916"/>
      <c r="H30" s="916"/>
      <c r="I30" s="916"/>
      <c r="J30" s="916"/>
      <c r="K30" s="916"/>
      <c r="L30" s="916"/>
      <c r="M30" s="916"/>
      <c r="N30" s="916"/>
      <c r="O30" s="923">
        <f t="shared" si="13"/>
        <v>0</v>
      </c>
      <c r="P30" s="1200"/>
      <c r="Q30" s="917"/>
      <c r="R30" s="917"/>
      <c r="S30" s="922">
        <f t="shared" si="14"/>
        <v>0</v>
      </c>
      <c r="T30" s="917"/>
      <c r="U30" s="922">
        <f t="shared" si="15"/>
        <v>0</v>
      </c>
      <c r="V30" s="917"/>
      <c r="W30" s="922">
        <f t="shared" si="16"/>
        <v>0</v>
      </c>
      <c r="X30" s="916"/>
      <c r="Y30" s="916"/>
      <c r="Z30" s="916"/>
      <c r="AA30" s="915"/>
      <c r="AB30" s="293" t="s">
        <v>241</v>
      </c>
      <c r="AC30" s="615"/>
      <c r="AE30" s="672" t="str">
        <f t="shared" si="1"/>
        <v>OK</v>
      </c>
      <c r="AF30" s="672" t="str">
        <f t="shared" si="2"/>
        <v>OK</v>
      </c>
      <c r="AG30" s="672" t="str">
        <f t="shared" si="3"/>
        <v>OK</v>
      </c>
      <c r="AH30" s="672" t="str">
        <f t="shared" si="4"/>
        <v>OK</v>
      </c>
      <c r="AI30" s="672" t="str">
        <f t="shared" si="5"/>
        <v>OK</v>
      </c>
      <c r="AJ30" s="672" t="str">
        <f t="shared" si="6"/>
        <v>OK</v>
      </c>
      <c r="AK30" s="672" t="str">
        <f t="shared" si="7"/>
        <v>OK</v>
      </c>
      <c r="AL30" s="616"/>
    </row>
    <row r="31" spans="1:43" ht="25.35" customHeight="1" thickTop="1" thickBot="1" x14ac:dyDescent="0.25">
      <c r="B31" s="617" t="s">
        <v>1454</v>
      </c>
      <c r="C31" s="293" t="s">
        <v>241</v>
      </c>
      <c r="D31" s="916"/>
      <c r="E31" s="916"/>
      <c r="F31" s="915"/>
      <c r="G31" s="916"/>
      <c r="H31" s="916"/>
      <c r="I31" s="916"/>
      <c r="J31" s="916"/>
      <c r="K31" s="916"/>
      <c r="L31" s="916"/>
      <c r="M31" s="916"/>
      <c r="N31" s="916"/>
      <c r="O31" s="917"/>
      <c r="P31" s="926"/>
      <c r="Q31" s="917"/>
      <c r="R31" s="917"/>
      <c r="S31" s="917"/>
      <c r="T31" s="917"/>
      <c r="U31" s="916"/>
      <c r="V31" s="917"/>
      <c r="W31" s="916"/>
      <c r="X31" s="916"/>
      <c r="Y31" s="916"/>
      <c r="Z31" s="916"/>
      <c r="AA31" s="915"/>
      <c r="AB31" s="293" t="s">
        <v>241</v>
      </c>
      <c r="AL31" s="616"/>
    </row>
    <row r="32" spans="1:43" ht="25.35" customHeight="1" thickTop="1" thickBot="1" x14ac:dyDescent="0.25">
      <c r="A32" s="1010">
        <v>18</v>
      </c>
      <c r="B32" s="617" t="s">
        <v>1455</v>
      </c>
      <c r="C32" s="293" t="s">
        <v>241</v>
      </c>
      <c r="D32" s="916">
        <v>50000</v>
      </c>
      <c r="E32" s="916"/>
      <c r="F32" s="922">
        <f>D32+E32</f>
        <v>50000</v>
      </c>
      <c r="G32" s="916"/>
      <c r="H32" s="916">
        <v>0</v>
      </c>
      <c r="I32" s="916"/>
      <c r="J32" s="916"/>
      <c r="K32" s="916"/>
      <c r="L32" s="916"/>
      <c r="M32" s="916"/>
      <c r="N32" s="916"/>
      <c r="O32" s="923">
        <f t="shared" si="13"/>
        <v>50000</v>
      </c>
      <c r="P32" s="1200"/>
      <c r="Q32" s="917"/>
      <c r="R32" s="917"/>
      <c r="S32" s="922">
        <f t="shared" si="14"/>
        <v>0</v>
      </c>
      <c r="T32" s="917"/>
      <c r="U32" s="922">
        <f t="shared" si="15"/>
        <v>50000</v>
      </c>
      <c r="V32" s="917"/>
      <c r="W32" s="922">
        <f t="shared" si="16"/>
        <v>50000</v>
      </c>
      <c r="X32" s="916"/>
      <c r="Y32" s="916"/>
      <c r="Z32" s="916"/>
      <c r="AA32" s="915"/>
      <c r="AB32" s="293" t="s">
        <v>241</v>
      </c>
      <c r="AC32" s="615"/>
      <c r="AE32" s="672" t="str">
        <f t="shared" si="1"/>
        <v>OK</v>
      </c>
      <c r="AF32" s="672" t="str">
        <f t="shared" si="2"/>
        <v>OK</v>
      </c>
      <c r="AG32" s="672" t="str">
        <f t="shared" si="3"/>
        <v>OK</v>
      </c>
      <c r="AH32" s="672" t="str">
        <f t="shared" si="4"/>
        <v>OK</v>
      </c>
      <c r="AI32" s="672" t="str">
        <f t="shared" si="5"/>
        <v>OK</v>
      </c>
      <c r="AJ32" s="672" t="str">
        <f t="shared" si="6"/>
        <v>OK</v>
      </c>
      <c r="AK32" s="672" t="str">
        <f t="shared" si="7"/>
        <v>OK</v>
      </c>
      <c r="AL32" s="616"/>
    </row>
    <row r="33" spans="1:38" ht="25.35" customHeight="1" thickTop="1" thickBot="1" x14ac:dyDescent="0.25">
      <c r="A33" s="1010">
        <v>19</v>
      </c>
      <c r="B33" s="617" t="s">
        <v>1456</v>
      </c>
      <c r="C33" s="293" t="s">
        <v>241</v>
      </c>
      <c r="D33" s="916">
        <v>0</v>
      </c>
      <c r="E33" s="916"/>
      <c r="F33" s="923">
        <f>D33+E33</f>
        <v>0</v>
      </c>
      <c r="G33" s="916"/>
      <c r="H33" s="916">
        <v>0</v>
      </c>
      <c r="I33" s="916"/>
      <c r="J33" s="916"/>
      <c r="K33" s="916"/>
      <c r="L33" s="916"/>
      <c r="M33" s="916"/>
      <c r="N33" s="916"/>
      <c r="O33" s="923">
        <f t="shared" si="13"/>
        <v>0</v>
      </c>
      <c r="P33" s="1200"/>
      <c r="Q33" s="917"/>
      <c r="R33" s="917"/>
      <c r="S33" s="922">
        <f t="shared" si="14"/>
        <v>0</v>
      </c>
      <c r="T33" s="917"/>
      <c r="U33" s="922">
        <f t="shared" si="15"/>
        <v>0</v>
      </c>
      <c r="V33" s="917"/>
      <c r="W33" s="922">
        <f t="shared" si="16"/>
        <v>0</v>
      </c>
      <c r="X33" s="916"/>
      <c r="Y33" s="916"/>
      <c r="Z33" s="916"/>
      <c r="AA33" s="915"/>
      <c r="AB33" s="293" t="s">
        <v>241</v>
      </c>
      <c r="AC33" s="615"/>
      <c r="AE33" s="672" t="str">
        <f t="shared" si="1"/>
        <v>OK</v>
      </c>
      <c r="AF33" s="672" t="str">
        <f t="shared" si="2"/>
        <v>OK</v>
      </c>
      <c r="AG33" s="672" t="str">
        <f t="shared" si="3"/>
        <v>OK</v>
      </c>
      <c r="AH33" s="672" t="str">
        <f t="shared" si="4"/>
        <v>OK</v>
      </c>
      <c r="AI33" s="672" t="str">
        <f t="shared" si="5"/>
        <v>OK</v>
      </c>
      <c r="AJ33" s="672" t="str">
        <f t="shared" si="6"/>
        <v>OK</v>
      </c>
      <c r="AK33" s="672" t="str">
        <f t="shared" si="7"/>
        <v>OK</v>
      </c>
      <c r="AL33" s="616"/>
    </row>
    <row r="34" spans="1:38" ht="24.6" customHeight="1" thickTop="1" thickBot="1" x14ac:dyDescent="0.25">
      <c r="A34" s="1010">
        <v>20</v>
      </c>
      <c r="B34" s="617" t="s">
        <v>1457</v>
      </c>
      <c r="C34" s="293" t="s">
        <v>241</v>
      </c>
      <c r="D34" s="916">
        <v>140000</v>
      </c>
      <c r="E34" s="916"/>
      <c r="F34" s="923">
        <f>D34+E34</f>
        <v>140000</v>
      </c>
      <c r="G34" s="916"/>
      <c r="H34" s="916">
        <v>40000</v>
      </c>
      <c r="I34" s="916"/>
      <c r="J34" s="916"/>
      <c r="K34" s="916"/>
      <c r="L34" s="916"/>
      <c r="M34" s="916"/>
      <c r="N34" s="916"/>
      <c r="O34" s="923">
        <f t="shared" si="13"/>
        <v>100000</v>
      </c>
      <c r="P34" s="1200"/>
      <c r="Q34" s="917"/>
      <c r="R34" s="917"/>
      <c r="S34" s="922">
        <f t="shared" si="14"/>
        <v>0</v>
      </c>
      <c r="T34" s="917"/>
      <c r="U34" s="922">
        <f t="shared" si="15"/>
        <v>100000</v>
      </c>
      <c r="V34" s="917"/>
      <c r="W34" s="922">
        <f t="shared" si="16"/>
        <v>100000</v>
      </c>
      <c r="X34" s="916"/>
      <c r="Y34" s="916"/>
      <c r="Z34" s="916"/>
      <c r="AA34" s="915"/>
      <c r="AB34" s="293" t="s">
        <v>241</v>
      </c>
      <c r="AC34" s="615"/>
      <c r="AE34" s="672" t="str">
        <f t="shared" si="1"/>
        <v>OK</v>
      </c>
      <c r="AF34" s="672" t="str">
        <f t="shared" si="2"/>
        <v>OK</v>
      </c>
      <c r="AG34" s="672" t="str">
        <f t="shared" si="3"/>
        <v>OK</v>
      </c>
      <c r="AH34" s="672" t="str">
        <f t="shared" si="4"/>
        <v>OK</v>
      </c>
      <c r="AI34" s="672" t="str">
        <f t="shared" si="5"/>
        <v>OK</v>
      </c>
      <c r="AJ34" s="672" t="str">
        <f t="shared" si="6"/>
        <v>OK</v>
      </c>
      <c r="AK34" s="672" t="str">
        <f t="shared" si="7"/>
        <v>OK</v>
      </c>
      <c r="AL34" s="616"/>
    </row>
    <row r="35" spans="1:38" ht="24.6" customHeight="1" thickTop="1" thickBot="1" x14ac:dyDescent="0.25">
      <c r="A35" s="1010">
        <v>21</v>
      </c>
      <c r="B35" s="619" t="s">
        <v>1487</v>
      </c>
      <c r="C35" s="293" t="s">
        <v>241</v>
      </c>
      <c r="D35" s="916">
        <v>0</v>
      </c>
      <c r="E35" s="916"/>
      <c r="F35" s="923">
        <f>D35+E35</f>
        <v>0</v>
      </c>
      <c r="G35" s="916"/>
      <c r="H35" s="916"/>
      <c r="I35" s="916"/>
      <c r="J35" s="916"/>
      <c r="K35" s="916"/>
      <c r="L35" s="916"/>
      <c r="M35" s="916"/>
      <c r="N35" s="916"/>
      <c r="O35" s="923">
        <f t="shared" si="13"/>
        <v>0</v>
      </c>
      <c r="P35" s="1200"/>
      <c r="Q35" s="917"/>
      <c r="R35" s="917"/>
      <c r="S35" s="922">
        <f t="shared" si="14"/>
        <v>0</v>
      </c>
      <c r="T35" s="917"/>
      <c r="U35" s="922">
        <f t="shared" si="15"/>
        <v>0</v>
      </c>
      <c r="V35" s="917"/>
      <c r="W35" s="922">
        <f t="shared" si="16"/>
        <v>0</v>
      </c>
      <c r="X35" s="916"/>
      <c r="Y35" s="916"/>
      <c r="Z35" s="916"/>
      <c r="AA35" s="915"/>
      <c r="AB35" s="293" t="s">
        <v>241</v>
      </c>
      <c r="AC35" s="615"/>
      <c r="AE35" s="672" t="str">
        <f t="shared" si="1"/>
        <v>OK</v>
      </c>
      <c r="AF35" s="672" t="str">
        <f t="shared" si="2"/>
        <v>OK</v>
      </c>
      <c r="AG35" s="672" t="str">
        <f t="shared" si="3"/>
        <v>OK</v>
      </c>
      <c r="AH35" s="672" t="str">
        <f t="shared" si="4"/>
        <v>OK</v>
      </c>
      <c r="AI35" s="672" t="str">
        <f t="shared" si="5"/>
        <v>OK</v>
      </c>
      <c r="AJ35" s="672" t="str">
        <f t="shared" si="6"/>
        <v>OK</v>
      </c>
      <c r="AK35" s="672" t="str">
        <f t="shared" si="7"/>
        <v>OK</v>
      </c>
      <c r="AL35" s="616"/>
    </row>
    <row r="36" spans="1:38" ht="120" customHeight="1" thickTop="1" thickBot="1" x14ac:dyDescent="0.25">
      <c r="A36" s="1010">
        <v>22</v>
      </c>
      <c r="B36" s="702" t="s">
        <v>1486</v>
      </c>
      <c r="C36" s="293"/>
      <c r="D36" s="921">
        <f>SUM(D37:D41,D42,D43:D45,D46)</f>
        <v>230000</v>
      </c>
      <c r="E36" s="921">
        <f t="shared" ref="E36:Z36" si="17">SUM(E37:E41,E42,E43:E45,E46)</f>
        <v>0</v>
      </c>
      <c r="F36" s="920">
        <f t="shared" si="17"/>
        <v>230000</v>
      </c>
      <c r="G36" s="921">
        <f t="shared" si="17"/>
        <v>0</v>
      </c>
      <c r="H36" s="921">
        <f t="shared" si="17"/>
        <v>0</v>
      </c>
      <c r="I36" s="921">
        <f t="shared" si="17"/>
        <v>0</v>
      </c>
      <c r="J36" s="921">
        <f t="shared" si="17"/>
        <v>0</v>
      </c>
      <c r="K36" s="921">
        <f t="shared" si="17"/>
        <v>0</v>
      </c>
      <c r="L36" s="921">
        <f t="shared" si="17"/>
        <v>0</v>
      </c>
      <c r="M36" s="921">
        <f t="shared" si="17"/>
        <v>0</v>
      </c>
      <c r="N36" s="921">
        <f t="shared" si="17"/>
        <v>0</v>
      </c>
      <c r="O36" s="921">
        <f t="shared" si="17"/>
        <v>230000</v>
      </c>
      <c r="P36" s="983">
        <f t="shared" si="17"/>
        <v>0</v>
      </c>
      <c r="Q36" s="921">
        <f t="shared" si="17"/>
        <v>0</v>
      </c>
      <c r="R36" s="921">
        <f t="shared" si="17"/>
        <v>0</v>
      </c>
      <c r="S36" s="921">
        <f t="shared" si="17"/>
        <v>0</v>
      </c>
      <c r="T36" s="921">
        <f t="shared" si="17"/>
        <v>0</v>
      </c>
      <c r="U36" s="921">
        <f t="shared" si="17"/>
        <v>230000</v>
      </c>
      <c r="V36" s="921">
        <f t="shared" si="17"/>
        <v>0</v>
      </c>
      <c r="W36" s="921">
        <f t="shared" si="17"/>
        <v>230000</v>
      </c>
      <c r="X36" s="921">
        <f t="shared" si="17"/>
        <v>0</v>
      </c>
      <c r="Y36" s="921">
        <f t="shared" si="17"/>
        <v>0</v>
      </c>
      <c r="Z36" s="921">
        <f t="shared" si="17"/>
        <v>0</v>
      </c>
      <c r="AA36" s="915"/>
      <c r="AB36" s="293"/>
      <c r="AC36" s="615"/>
      <c r="AE36" s="672" t="str">
        <f t="shared" si="1"/>
        <v>OK</v>
      </c>
      <c r="AF36" s="672" t="str">
        <f t="shared" si="2"/>
        <v>OK</v>
      </c>
      <c r="AG36" s="672" t="str">
        <f t="shared" si="3"/>
        <v>OK</v>
      </c>
      <c r="AH36" s="672" t="str">
        <f t="shared" si="4"/>
        <v>OK</v>
      </c>
      <c r="AI36" s="672" t="str">
        <f t="shared" si="5"/>
        <v>OK</v>
      </c>
      <c r="AJ36" s="672" t="str">
        <f t="shared" si="6"/>
        <v>OK</v>
      </c>
      <c r="AK36" s="672" t="str">
        <f t="shared" si="7"/>
        <v>OK</v>
      </c>
      <c r="AL36" s="616"/>
    </row>
    <row r="37" spans="1:38" ht="24.6" customHeight="1" thickTop="1" thickBot="1" x14ac:dyDescent="0.25">
      <c r="A37" s="1010">
        <v>23</v>
      </c>
      <c r="B37" s="700" t="s">
        <v>34</v>
      </c>
      <c r="C37" s="293" t="s">
        <v>241</v>
      </c>
      <c r="D37" s="318"/>
      <c r="E37" s="318"/>
      <c r="F37" s="923">
        <f>D37+E37</f>
        <v>0</v>
      </c>
      <c r="G37" s="318"/>
      <c r="H37" s="318"/>
      <c r="I37" s="318"/>
      <c r="J37" s="318"/>
      <c r="K37" s="318"/>
      <c r="L37" s="318"/>
      <c r="M37" s="318"/>
      <c r="N37" s="318"/>
      <c r="O37" s="923">
        <f t="shared" si="13"/>
        <v>0</v>
      </c>
      <c r="P37" s="1201"/>
      <c r="Q37" s="919"/>
      <c r="R37" s="919"/>
      <c r="S37" s="922">
        <f>P37+Q37+R37</f>
        <v>0</v>
      </c>
      <c r="T37" s="919"/>
      <c r="U37" s="922">
        <f t="shared" si="15"/>
        <v>0</v>
      </c>
      <c r="V37" s="919"/>
      <c r="W37" s="922">
        <f t="shared" si="16"/>
        <v>0</v>
      </c>
      <c r="X37" s="318"/>
      <c r="Y37" s="318"/>
      <c r="Z37" s="318"/>
      <c r="AA37" s="914"/>
      <c r="AB37" s="293" t="s">
        <v>241</v>
      </c>
      <c r="AC37" s="615"/>
      <c r="AE37" s="672" t="str">
        <f t="shared" si="1"/>
        <v>OK</v>
      </c>
      <c r="AF37" s="672" t="str">
        <f t="shared" si="2"/>
        <v>OK</v>
      </c>
      <c r="AG37" s="672" t="str">
        <f t="shared" si="3"/>
        <v>OK</v>
      </c>
      <c r="AH37" s="672" t="str">
        <f t="shared" si="4"/>
        <v>OK</v>
      </c>
      <c r="AI37" s="672" t="str">
        <f t="shared" si="5"/>
        <v>OK</v>
      </c>
      <c r="AJ37" s="672" t="str">
        <f t="shared" si="6"/>
        <v>OK</v>
      </c>
      <c r="AK37" s="672" t="str">
        <f t="shared" si="7"/>
        <v>OK</v>
      </c>
      <c r="AL37" s="332" t="b">
        <f>AA37&gt;=W37*B37</f>
        <v>1</v>
      </c>
    </row>
    <row r="38" spans="1:38" ht="24.6" customHeight="1" thickTop="1" thickBot="1" x14ac:dyDescent="0.25">
      <c r="A38" s="1010">
        <v>24</v>
      </c>
      <c r="B38" s="700" t="s">
        <v>1393</v>
      </c>
      <c r="C38" s="293" t="s">
        <v>241</v>
      </c>
      <c r="D38" s="916"/>
      <c r="E38" s="916"/>
      <c r="F38" s="923">
        <f t="shared" ref="F38:F46" si="18">D38+E38</f>
        <v>0</v>
      </c>
      <c r="G38" s="916"/>
      <c r="H38" s="916"/>
      <c r="I38" s="916"/>
      <c r="J38" s="916"/>
      <c r="K38" s="916"/>
      <c r="L38" s="916"/>
      <c r="M38" s="916"/>
      <c r="N38" s="916"/>
      <c r="O38" s="923">
        <f t="shared" si="13"/>
        <v>0</v>
      </c>
      <c r="P38" s="1200"/>
      <c r="Q38" s="917"/>
      <c r="R38" s="917"/>
      <c r="S38" s="922">
        <f t="shared" ref="S38:S46" si="19">P38+Q38+R38</f>
        <v>0</v>
      </c>
      <c r="T38" s="917"/>
      <c r="U38" s="922">
        <f t="shared" si="15"/>
        <v>0</v>
      </c>
      <c r="V38" s="917"/>
      <c r="W38" s="922">
        <f t="shared" si="16"/>
        <v>0</v>
      </c>
      <c r="X38" s="916"/>
      <c r="Y38" s="916"/>
      <c r="Z38" s="916"/>
      <c r="AA38" s="915"/>
      <c r="AB38" s="293" t="s">
        <v>241</v>
      </c>
      <c r="AC38" s="615"/>
      <c r="AE38" s="672" t="str">
        <f t="shared" si="1"/>
        <v>OK</v>
      </c>
      <c r="AF38" s="672" t="str">
        <f t="shared" si="2"/>
        <v>OK</v>
      </c>
      <c r="AG38" s="672" t="str">
        <f t="shared" si="3"/>
        <v>OK</v>
      </c>
      <c r="AH38" s="672" t="str">
        <f t="shared" si="4"/>
        <v>OK</v>
      </c>
      <c r="AI38" s="672" t="str">
        <f t="shared" si="5"/>
        <v>OK</v>
      </c>
      <c r="AJ38" s="672" t="str">
        <f t="shared" si="6"/>
        <v>OK</v>
      </c>
      <c r="AK38" s="672" t="str">
        <f t="shared" si="7"/>
        <v>OK</v>
      </c>
      <c r="AL38" s="332" t="b">
        <f t="shared" ref="AL38:AL46" si="20">AA38&gt;=W38*B38</f>
        <v>1</v>
      </c>
    </row>
    <row r="39" spans="1:38" ht="24.6" customHeight="1" thickTop="1" thickBot="1" x14ac:dyDescent="0.25">
      <c r="A39" s="1010">
        <v>25</v>
      </c>
      <c r="B39" s="700" t="s">
        <v>1394</v>
      </c>
      <c r="C39" s="293" t="s">
        <v>241</v>
      </c>
      <c r="D39" s="916"/>
      <c r="E39" s="916"/>
      <c r="F39" s="923">
        <f t="shared" si="18"/>
        <v>0</v>
      </c>
      <c r="G39" s="916"/>
      <c r="H39" s="916"/>
      <c r="I39" s="916"/>
      <c r="J39" s="916"/>
      <c r="K39" s="916"/>
      <c r="L39" s="916"/>
      <c r="M39" s="916"/>
      <c r="N39" s="916"/>
      <c r="O39" s="923">
        <f t="shared" si="13"/>
        <v>0</v>
      </c>
      <c r="P39" s="1200"/>
      <c r="Q39" s="917"/>
      <c r="R39" s="917"/>
      <c r="S39" s="922">
        <f t="shared" si="19"/>
        <v>0</v>
      </c>
      <c r="T39" s="917"/>
      <c r="U39" s="922">
        <f t="shared" si="15"/>
        <v>0</v>
      </c>
      <c r="V39" s="917"/>
      <c r="W39" s="922">
        <f t="shared" si="16"/>
        <v>0</v>
      </c>
      <c r="X39" s="916"/>
      <c r="Y39" s="916"/>
      <c r="Z39" s="916"/>
      <c r="AA39" s="915"/>
      <c r="AB39" s="293" t="s">
        <v>241</v>
      </c>
      <c r="AC39" s="615"/>
      <c r="AE39" s="672" t="str">
        <f t="shared" si="1"/>
        <v>OK</v>
      </c>
      <c r="AF39" s="672" t="str">
        <f t="shared" si="2"/>
        <v>OK</v>
      </c>
      <c r="AG39" s="672" t="str">
        <f t="shared" si="3"/>
        <v>OK</v>
      </c>
      <c r="AH39" s="672" t="str">
        <f t="shared" si="4"/>
        <v>OK</v>
      </c>
      <c r="AI39" s="672" t="str">
        <f t="shared" si="5"/>
        <v>OK</v>
      </c>
      <c r="AJ39" s="672" t="str">
        <f t="shared" si="6"/>
        <v>OK</v>
      </c>
      <c r="AK39" s="672" t="str">
        <f t="shared" si="7"/>
        <v>OK</v>
      </c>
      <c r="AL39" s="332" t="b">
        <f t="shared" si="20"/>
        <v>1</v>
      </c>
    </row>
    <row r="40" spans="1:38" ht="24.6" customHeight="1" thickTop="1" thickBot="1" x14ac:dyDescent="0.25">
      <c r="A40" s="1010">
        <v>26</v>
      </c>
      <c r="B40" s="700" t="s">
        <v>1395</v>
      </c>
      <c r="C40" s="293" t="s">
        <v>241</v>
      </c>
      <c r="D40" s="916"/>
      <c r="E40" s="916"/>
      <c r="F40" s="923">
        <f t="shared" si="18"/>
        <v>0</v>
      </c>
      <c r="G40" s="916"/>
      <c r="H40" s="916"/>
      <c r="I40" s="916"/>
      <c r="J40" s="916"/>
      <c r="K40" s="916"/>
      <c r="L40" s="916"/>
      <c r="M40" s="916"/>
      <c r="N40" s="916"/>
      <c r="O40" s="923">
        <f t="shared" si="13"/>
        <v>0</v>
      </c>
      <c r="P40" s="1200"/>
      <c r="Q40" s="917"/>
      <c r="R40" s="917"/>
      <c r="S40" s="922">
        <f t="shared" si="19"/>
        <v>0</v>
      </c>
      <c r="T40" s="917"/>
      <c r="U40" s="922">
        <f t="shared" si="15"/>
        <v>0</v>
      </c>
      <c r="V40" s="917"/>
      <c r="W40" s="922">
        <f t="shared" si="16"/>
        <v>0</v>
      </c>
      <c r="X40" s="916"/>
      <c r="Y40" s="916"/>
      <c r="Z40" s="916"/>
      <c r="AA40" s="915"/>
      <c r="AB40" s="293" t="s">
        <v>241</v>
      </c>
      <c r="AC40" s="615"/>
      <c r="AE40" s="672" t="str">
        <f t="shared" si="1"/>
        <v>OK</v>
      </c>
      <c r="AF40" s="672" t="str">
        <f t="shared" si="2"/>
        <v>OK</v>
      </c>
      <c r="AG40" s="672" t="str">
        <f t="shared" si="3"/>
        <v>OK</v>
      </c>
      <c r="AH40" s="672" t="str">
        <f t="shared" si="4"/>
        <v>OK</v>
      </c>
      <c r="AI40" s="672" t="str">
        <f t="shared" si="5"/>
        <v>OK</v>
      </c>
      <c r="AJ40" s="672" t="str">
        <f t="shared" si="6"/>
        <v>OK</v>
      </c>
      <c r="AK40" s="672" t="str">
        <f t="shared" si="7"/>
        <v>OK</v>
      </c>
      <c r="AL40" s="332" t="b">
        <f t="shared" si="20"/>
        <v>1</v>
      </c>
    </row>
    <row r="41" spans="1:38" ht="24.6" customHeight="1" thickTop="1" thickBot="1" x14ac:dyDescent="0.25">
      <c r="A41" s="1010">
        <v>27</v>
      </c>
      <c r="B41" s="700" t="s">
        <v>1396</v>
      </c>
      <c r="C41" s="293" t="s">
        <v>241</v>
      </c>
      <c r="D41" s="916"/>
      <c r="E41" s="916"/>
      <c r="F41" s="923">
        <f t="shared" si="18"/>
        <v>0</v>
      </c>
      <c r="G41" s="916"/>
      <c r="H41" s="916"/>
      <c r="I41" s="916"/>
      <c r="J41" s="916"/>
      <c r="K41" s="916"/>
      <c r="L41" s="916"/>
      <c r="M41" s="916"/>
      <c r="N41" s="916"/>
      <c r="O41" s="923">
        <f t="shared" si="13"/>
        <v>0</v>
      </c>
      <c r="P41" s="1200"/>
      <c r="Q41" s="917"/>
      <c r="R41" s="917"/>
      <c r="S41" s="922">
        <f t="shared" si="19"/>
        <v>0</v>
      </c>
      <c r="T41" s="917"/>
      <c r="U41" s="922">
        <f t="shared" si="15"/>
        <v>0</v>
      </c>
      <c r="V41" s="917"/>
      <c r="W41" s="922">
        <f t="shared" si="16"/>
        <v>0</v>
      </c>
      <c r="X41" s="916"/>
      <c r="Y41" s="916"/>
      <c r="Z41" s="916"/>
      <c r="AA41" s="915"/>
      <c r="AB41" s="293" t="s">
        <v>241</v>
      </c>
      <c r="AC41" s="615"/>
      <c r="AE41" s="672" t="str">
        <f t="shared" si="1"/>
        <v>OK</v>
      </c>
      <c r="AF41" s="672" t="str">
        <f t="shared" si="2"/>
        <v>OK</v>
      </c>
      <c r="AG41" s="672" t="str">
        <f t="shared" si="3"/>
        <v>OK</v>
      </c>
      <c r="AH41" s="672" t="str">
        <f t="shared" si="4"/>
        <v>OK</v>
      </c>
      <c r="AI41" s="672" t="str">
        <f t="shared" si="5"/>
        <v>OK</v>
      </c>
      <c r="AJ41" s="672" t="str">
        <f t="shared" si="6"/>
        <v>OK</v>
      </c>
      <c r="AK41" s="672" t="str">
        <f t="shared" si="7"/>
        <v>OK</v>
      </c>
      <c r="AL41" s="332" t="b">
        <f t="shared" si="20"/>
        <v>1</v>
      </c>
    </row>
    <row r="42" spans="1:38" ht="24.6" customHeight="1" thickTop="1" thickBot="1" x14ac:dyDescent="0.25">
      <c r="A42" s="1010">
        <v>28</v>
      </c>
      <c r="B42" s="700" t="s">
        <v>1397</v>
      </c>
      <c r="C42" s="293" t="s">
        <v>241</v>
      </c>
      <c r="D42" s="916"/>
      <c r="E42" s="916"/>
      <c r="F42" s="923">
        <f t="shared" si="18"/>
        <v>0</v>
      </c>
      <c r="G42" s="915"/>
      <c r="H42" s="915"/>
      <c r="I42" s="915"/>
      <c r="J42" s="915"/>
      <c r="K42" s="915"/>
      <c r="L42" s="915"/>
      <c r="M42" s="915"/>
      <c r="N42" s="915"/>
      <c r="O42" s="923">
        <f t="shared" si="13"/>
        <v>0</v>
      </c>
      <c r="P42" s="1200"/>
      <c r="Q42" s="917"/>
      <c r="R42" s="917"/>
      <c r="S42" s="922">
        <f t="shared" si="19"/>
        <v>0</v>
      </c>
      <c r="T42" s="917"/>
      <c r="U42" s="922">
        <f t="shared" si="15"/>
        <v>0</v>
      </c>
      <c r="V42" s="917"/>
      <c r="W42" s="922">
        <f t="shared" si="16"/>
        <v>0</v>
      </c>
      <c r="X42" s="915"/>
      <c r="Y42" s="915"/>
      <c r="Z42" s="915"/>
      <c r="AA42" s="915"/>
      <c r="AB42" s="293" t="s">
        <v>241</v>
      </c>
      <c r="AC42" s="615"/>
      <c r="AE42" s="672" t="str">
        <f t="shared" si="1"/>
        <v>OK</v>
      </c>
      <c r="AF42" s="672" t="str">
        <f t="shared" si="2"/>
        <v>OK</v>
      </c>
      <c r="AG42" s="672" t="str">
        <f t="shared" si="3"/>
        <v>OK</v>
      </c>
      <c r="AH42" s="672" t="str">
        <f t="shared" si="4"/>
        <v>OK</v>
      </c>
      <c r="AI42" s="672" t="str">
        <f t="shared" si="5"/>
        <v>OK</v>
      </c>
      <c r="AJ42" s="672" t="str">
        <f t="shared" si="6"/>
        <v>OK</v>
      </c>
      <c r="AK42" s="672" t="str">
        <f t="shared" si="7"/>
        <v>OK</v>
      </c>
      <c r="AL42" s="332" t="b">
        <f t="shared" si="20"/>
        <v>1</v>
      </c>
    </row>
    <row r="43" spans="1:38" ht="24.6" customHeight="1" thickTop="1" thickBot="1" x14ac:dyDescent="0.25">
      <c r="A43" s="1010">
        <v>29</v>
      </c>
      <c r="B43" s="700">
        <v>0.85</v>
      </c>
      <c r="C43" s="293" t="s">
        <v>241</v>
      </c>
      <c r="D43" s="916"/>
      <c r="E43" s="916"/>
      <c r="F43" s="923">
        <f t="shared" si="18"/>
        <v>0</v>
      </c>
      <c r="G43" s="916"/>
      <c r="H43" s="916"/>
      <c r="I43" s="916"/>
      <c r="J43" s="916"/>
      <c r="K43" s="916"/>
      <c r="L43" s="916"/>
      <c r="M43" s="916"/>
      <c r="N43" s="916"/>
      <c r="O43" s="923">
        <f t="shared" si="13"/>
        <v>0</v>
      </c>
      <c r="P43" s="1200"/>
      <c r="Q43" s="917"/>
      <c r="R43" s="917"/>
      <c r="S43" s="922">
        <f t="shared" si="19"/>
        <v>0</v>
      </c>
      <c r="T43" s="917"/>
      <c r="U43" s="922">
        <f t="shared" si="15"/>
        <v>0</v>
      </c>
      <c r="V43" s="917"/>
      <c r="W43" s="922">
        <f t="shared" si="16"/>
        <v>0</v>
      </c>
      <c r="X43" s="916"/>
      <c r="Y43" s="916"/>
      <c r="Z43" s="916"/>
      <c r="AA43" s="915"/>
      <c r="AB43" s="293" t="s">
        <v>241</v>
      </c>
      <c r="AC43" s="615"/>
      <c r="AE43" s="672" t="str">
        <f t="shared" si="1"/>
        <v>OK</v>
      </c>
      <c r="AF43" s="672" t="str">
        <f t="shared" si="2"/>
        <v>OK</v>
      </c>
      <c r="AG43" s="672" t="str">
        <f t="shared" si="3"/>
        <v>OK</v>
      </c>
      <c r="AH43" s="672" t="str">
        <f t="shared" si="4"/>
        <v>OK</v>
      </c>
      <c r="AI43" s="672" t="str">
        <f t="shared" si="5"/>
        <v>OK</v>
      </c>
      <c r="AJ43" s="672" t="str">
        <f t="shared" si="6"/>
        <v>OK</v>
      </c>
      <c r="AK43" s="672" t="str">
        <f t="shared" si="7"/>
        <v>OK</v>
      </c>
      <c r="AL43" s="332" t="b">
        <f t="shared" si="20"/>
        <v>1</v>
      </c>
    </row>
    <row r="44" spans="1:38" ht="24.6" customHeight="1" thickTop="1" thickBot="1" x14ac:dyDescent="0.25">
      <c r="A44" s="1010">
        <v>30</v>
      </c>
      <c r="B44" s="700">
        <v>0.9</v>
      </c>
      <c r="C44" s="293" t="s">
        <v>241</v>
      </c>
      <c r="D44" s="916"/>
      <c r="E44" s="916"/>
      <c r="F44" s="923">
        <f t="shared" si="18"/>
        <v>0</v>
      </c>
      <c r="G44" s="916"/>
      <c r="H44" s="916"/>
      <c r="I44" s="916"/>
      <c r="J44" s="916"/>
      <c r="K44" s="916"/>
      <c r="L44" s="916"/>
      <c r="M44" s="916"/>
      <c r="N44" s="916"/>
      <c r="O44" s="923">
        <f t="shared" si="13"/>
        <v>0</v>
      </c>
      <c r="P44" s="1200"/>
      <c r="Q44" s="917"/>
      <c r="R44" s="917"/>
      <c r="S44" s="922">
        <f t="shared" si="19"/>
        <v>0</v>
      </c>
      <c r="T44" s="917"/>
      <c r="U44" s="922">
        <f t="shared" si="15"/>
        <v>0</v>
      </c>
      <c r="V44" s="917"/>
      <c r="W44" s="922">
        <f t="shared" si="16"/>
        <v>0</v>
      </c>
      <c r="X44" s="916"/>
      <c r="Y44" s="916"/>
      <c r="Z44" s="916"/>
      <c r="AA44" s="915"/>
      <c r="AB44" s="293" t="s">
        <v>241</v>
      </c>
      <c r="AC44" s="615"/>
      <c r="AE44" s="672" t="str">
        <f t="shared" si="1"/>
        <v>OK</v>
      </c>
      <c r="AF44" s="672" t="str">
        <f t="shared" si="2"/>
        <v>OK</v>
      </c>
      <c r="AG44" s="672" t="str">
        <f t="shared" si="3"/>
        <v>OK</v>
      </c>
      <c r="AH44" s="672" t="str">
        <f t="shared" si="4"/>
        <v>OK</v>
      </c>
      <c r="AI44" s="672" t="str">
        <f t="shared" si="5"/>
        <v>OK</v>
      </c>
      <c r="AJ44" s="672" t="str">
        <f t="shared" si="6"/>
        <v>OK</v>
      </c>
      <c r="AK44" s="672" t="str">
        <f t="shared" si="7"/>
        <v>OK</v>
      </c>
      <c r="AL44" s="332" t="b">
        <f t="shared" si="20"/>
        <v>1</v>
      </c>
    </row>
    <row r="45" spans="1:38" ht="24.6" customHeight="1" thickTop="1" thickBot="1" x14ac:dyDescent="0.25">
      <c r="A45" s="1010">
        <v>31</v>
      </c>
      <c r="B45" s="700">
        <v>1</v>
      </c>
      <c r="C45" s="293" t="s">
        <v>241</v>
      </c>
      <c r="D45" s="916"/>
      <c r="E45" s="916"/>
      <c r="F45" s="923">
        <f t="shared" si="18"/>
        <v>0</v>
      </c>
      <c r="G45" s="916"/>
      <c r="H45" s="916"/>
      <c r="I45" s="916"/>
      <c r="J45" s="916"/>
      <c r="K45" s="916"/>
      <c r="L45" s="916"/>
      <c r="M45" s="916"/>
      <c r="N45" s="916"/>
      <c r="O45" s="923">
        <f t="shared" si="13"/>
        <v>0</v>
      </c>
      <c r="P45" s="1200"/>
      <c r="Q45" s="917"/>
      <c r="R45" s="917"/>
      <c r="S45" s="922">
        <f t="shared" si="19"/>
        <v>0</v>
      </c>
      <c r="T45" s="917"/>
      <c r="U45" s="922">
        <f t="shared" si="15"/>
        <v>0</v>
      </c>
      <c r="V45" s="917"/>
      <c r="W45" s="922">
        <f t="shared" si="16"/>
        <v>0</v>
      </c>
      <c r="X45" s="916"/>
      <c r="Y45" s="916"/>
      <c r="Z45" s="916"/>
      <c r="AA45" s="915"/>
      <c r="AB45" s="293" t="s">
        <v>241</v>
      </c>
      <c r="AC45" s="615"/>
      <c r="AE45" s="672" t="str">
        <f t="shared" si="1"/>
        <v>OK</v>
      </c>
      <c r="AF45" s="672" t="str">
        <f t="shared" si="2"/>
        <v>OK</v>
      </c>
      <c r="AG45" s="672" t="str">
        <f t="shared" si="3"/>
        <v>OK</v>
      </c>
      <c r="AH45" s="672" t="str">
        <f t="shared" si="4"/>
        <v>OK</v>
      </c>
      <c r="AI45" s="672" t="str">
        <f t="shared" si="5"/>
        <v>OK</v>
      </c>
      <c r="AJ45" s="672" t="str">
        <f t="shared" si="6"/>
        <v>OK</v>
      </c>
      <c r="AK45" s="672" t="str">
        <f t="shared" si="7"/>
        <v>OK</v>
      </c>
      <c r="AL45" s="332" t="b">
        <f t="shared" si="20"/>
        <v>1</v>
      </c>
    </row>
    <row r="46" spans="1:38" ht="24.6" customHeight="1" thickTop="1" thickBot="1" x14ac:dyDescent="0.25">
      <c r="A46" s="1010">
        <v>32</v>
      </c>
      <c r="B46" s="619">
        <v>1.5</v>
      </c>
      <c r="C46" s="293" t="s">
        <v>241</v>
      </c>
      <c r="D46" s="916">
        <v>230000</v>
      </c>
      <c r="E46" s="916"/>
      <c r="F46" s="923">
        <f t="shared" si="18"/>
        <v>230000</v>
      </c>
      <c r="G46" s="916"/>
      <c r="H46" s="916"/>
      <c r="I46" s="916"/>
      <c r="J46" s="916"/>
      <c r="K46" s="916"/>
      <c r="L46" s="916"/>
      <c r="M46" s="916"/>
      <c r="N46" s="916"/>
      <c r="O46" s="923">
        <f t="shared" si="13"/>
        <v>230000</v>
      </c>
      <c r="P46" s="1200"/>
      <c r="Q46" s="917"/>
      <c r="R46" s="917"/>
      <c r="S46" s="922">
        <f t="shared" si="19"/>
        <v>0</v>
      </c>
      <c r="T46" s="917"/>
      <c r="U46" s="922">
        <f t="shared" si="15"/>
        <v>230000</v>
      </c>
      <c r="V46" s="917"/>
      <c r="W46" s="922">
        <f t="shared" si="16"/>
        <v>230000</v>
      </c>
      <c r="X46" s="916"/>
      <c r="Y46" s="916"/>
      <c r="Z46" s="916"/>
      <c r="AA46" s="915"/>
      <c r="AB46" s="293" t="s">
        <v>241</v>
      </c>
      <c r="AC46" s="615"/>
      <c r="AE46" s="672" t="str">
        <f t="shared" si="1"/>
        <v>OK</v>
      </c>
      <c r="AF46" s="672" t="str">
        <f t="shared" si="2"/>
        <v>OK</v>
      </c>
      <c r="AG46" s="672" t="str">
        <f t="shared" si="3"/>
        <v>OK</v>
      </c>
      <c r="AH46" s="672" t="str">
        <f t="shared" si="4"/>
        <v>OK</v>
      </c>
      <c r="AI46" s="672" t="str">
        <f t="shared" si="5"/>
        <v>OK</v>
      </c>
      <c r="AJ46" s="672" t="str">
        <f t="shared" si="6"/>
        <v>OK</v>
      </c>
      <c r="AK46" s="672" t="str">
        <f t="shared" si="7"/>
        <v>OK</v>
      </c>
      <c r="AL46" s="332" t="b">
        <f t="shared" si="20"/>
        <v>0</v>
      </c>
    </row>
    <row r="47" spans="1:38" ht="24.6" customHeight="1" thickTop="1" thickBot="1" x14ac:dyDescent="0.25">
      <c r="A47" s="1010">
        <v>33</v>
      </c>
      <c r="B47" s="681" t="s">
        <v>1436</v>
      </c>
      <c r="C47" s="293"/>
      <c r="D47" s="921">
        <f>D48+D49</f>
        <v>0</v>
      </c>
      <c r="E47" s="921">
        <f t="shared" ref="E47:AA47" si="21">E48+E49</f>
        <v>0</v>
      </c>
      <c r="F47" s="921">
        <f t="shared" si="21"/>
        <v>0</v>
      </c>
      <c r="G47" s="921">
        <f t="shared" si="21"/>
        <v>0</v>
      </c>
      <c r="H47" s="921">
        <f t="shared" si="21"/>
        <v>0</v>
      </c>
      <c r="I47" s="921">
        <f t="shared" si="21"/>
        <v>0</v>
      </c>
      <c r="J47" s="921">
        <f t="shared" si="21"/>
        <v>0</v>
      </c>
      <c r="K47" s="921">
        <f t="shared" si="21"/>
        <v>0</v>
      </c>
      <c r="L47" s="921">
        <f t="shared" si="21"/>
        <v>0</v>
      </c>
      <c r="M47" s="921">
        <f t="shared" si="21"/>
        <v>0</v>
      </c>
      <c r="N47" s="921">
        <f t="shared" si="21"/>
        <v>0</v>
      </c>
      <c r="O47" s="921">
        <f t="shared" si="21"/>
        <v>0</v>
      </c>
      <c r="P47" s="921">
        <f t="shared" si="21"/>
        <v>0</v>
      </c>
      <c r="Q47" s="921">
        <f t="shared" si="21"/>
        <v>0</v>
      </c>
      <c r="R47" s="921">
        <f t="shared" si="21"/>
        <v>0</v>
      </c>
      <c r="S47" s="921">
        <f t="shared" si="21"/>
        <v>0</v>
      </c>
      <c r="T47" s="921">
        <f t="shared" si="21"/>
        <v>0</v>
      </c>
      <c r="U47" s="921">
        <f t="shared" si="21"/>
        <v>0</v>
      </c>
      <c r="V47" s="921">
        <f t="shared" si="21"/>
        <v>0</v>
      </c>
      <c r="W47" s="921">
        <f t="shared" si="21"/>
        <v>0</v>
      </c>
      <c r="X47" s="921">
        <f t="shared" si="21"/>
        <v>0</v>
      </c>
      <c r="Y47" s="921">
        <f t="shared" si="21"/>
        <v>0</v>
      </c>
      <c r="Z47" s="921">
        <f t="shared" si="21"/>
        <v>0</v>
      </c>
      <c r="AA47" s="921">
        <f t="shared" si="21"/>
        <v>0</v>
      </c>
      <c r="AB47" s="293"/>
      <c r="AC47" s="615"/>
      <c r="AE47" s="672" t="str">
        <f t="shared" si="1"/>
        <v>OK</v>
      </c>
      <c r="AF47" s="672" t="str">
        <f t="shared" si="2"/>
        <v>OK</v>
      </c>
      <c r="AG47" s="672" t="str">
        <f t="shared" si="3"/>
        <v>OK</v>
      </c>
      <c r="AH47" s="672" t="str">
        <f t="shared" si="4"/>
        <v>OK</v>
      </c>
      <c r="AI47" s="672" t="str">
        <f t="shared" si="5"/>
        <v>OK</v>
      </c>
      <c r="AJ47" s="672" t="str">
        <f t="shared" si="6"/>
        <v>OK</v>
      </c>
      <c r="AK47" s="672" t="str">
        <f t="shared" si="7"/>
        <v>OK</v>
      </c>
      <c r="AL47" s="616"/>
    </row>
    <row r="48" spans="1:38" ht="24.6" customHeight="1" thickTop="1" thickBot="1" x14ac:dyDescent="0.25">
      <c r="A48" s="1010">
        <v>34</v>
      </c>
      <c r="B48" s="619">
        <v>1</v>
      </c>
      <c r="C48" s="293" t="s">
        <v>241</v>
      </c>
      <c r="D48" s="245"/>
      <c r="E48" s="245"/>
      <c r="F48" s="915"/>
      <c r="G48" s="915"/>
      <c r="H48" s="915"/>
      <c r="I48" s="915"/>
      <c r="J48" s="915"/>
      <c r="K48" s="915"/>
      <c r="L48" s="915"/>
      <c r="M48" s="915"/>
      <c r="N48" s="915"/>
      <c r="O48" s="915"/>
      <c r="P48" s="1472"/>
      <c r="Q48" s="1195"/>
      <c r="R48" s="1195"/>
      <c r="S48" s="1195"/>
      <c r="T48" s="1195"/>
      <c r="U48" s="318"/>
      <c r="V48" s="1195"/>
      <c r="W48" s="318"/>
      <c r="X48" s="915"/>
      <c r="Y48" s="915"/>
      <c r="Z48" s="915"/>
      <c r="AA48" s="915"/>
      <c r="AB48" s="293" t="s">
        <v>241</v>
      </c>
      <c r="AC48" s="615"/>
      <c r="AE48" s="672" t="str">
        <f t="shared" si="1"/>
        <v>OK</v>
      </c>
      <c r="AF48" s="672" t="str">
        <f t="shared" si="2"/>
        <v>OK</v>
      </c>
      <c r="AG48" s="672" t="str">
        <f t="shared" si="3"/>
        <v>OK</v>
      </c>
      <c r="AH48" s="672" t="str">
        <f t="shared" si="4"/>
        <v>OK</v>
      </c>
      <c r="AI48" s="672" t="str">
        <f t="shared" si="5"/>
        <v>OK</v>
      </c>
      <c r="AJ48" s="672" t="str">
        <f t="shared" si="6"/>
        <v>OK</v>
      </c>
      <c r="AK48" s="672" t="str">
        <f t="shared" si="7"/>
        <v>OK</v>
      </c>
      <c r="AL48" s="332" t="b">
        <f>AA48=W48</f>
        <v>1</v>
      </c>
    </row>
    <row r="49" spans="1:38" ht="24.6" customHeight="1" thickTop="1" thickBot="1" x14ac:dyDescent="0.25">
      <c r="A49" s="1010">
        <v>35</v>
      </c>
      <c r="B49" s="619">
        <v>1.5</v>
      </c>
      <c r="C49" s="293" t="s">
        <v>241</v>
      </c>
      <c r="D49" s="916"/>
      <c r="E49" s="916"/>
      <c r="F49" s="923">
        <f t="shared" ref="F49" si="22">D49+E49</f>
        <v>0</v>
      </c>
      <c r="G49" s="916"/>
      <c r="H49" s="916"/>
      <c r="I49" s="916"/>
      <c r="J49" s="916"/>
      <c r="K49" s="916"/>
      <c r="L49" s="916"/>
      <c r="M49" s="916"/>
      <c r="N49" s="916"/>
      <c r="O49" s="923">
        <f t="shared" ref="O49" si="23">F49-H49-0.9*I49-0.8*J49-0.6*K49-0.5*L49</f>
        <v>0</v>
      </c>
      <c r="P49" s="1200"/>
      <c r="Q49" s="917"/>
      <c r="R49" s="917"/>
      <c r="S49" s="922">
        <f t="shared" ref="S49" si="24">P49+Q49+R49</f>
        <v>0</v>
      </c>
      <c r="T49" s="917"/>
      <c r="U49" s="922">
        <f t="shared" ref="U49" si="25">O49+S49+T49</f>
        <v>0</v>
      </c>
      <c r="V49" s="917"/>
      <c r="W49" s="922">
        <f t="shared" ref="W49" si="26">U49+V49</f>
        <v>0</v>
      </c>
      <c r="X49" s="916"/>
      <c r="Y49" s="916"/>
      <c r="Z49" s="916"/>
      <c r="AA49" s="915"/>
      <c r="AB49" s="293" t="s">
        <v>241</v>
      </c>
      <c r="AC49" s="615"/>
      <c r="AE49" s="672" t="str">
        <f t="shared" si="1"/>
        <v>OK</v>
      </c>
      <c r="AF49" s="672" t="str">
        <f t="shared" si="2"/>
        <v>OK</v>
      </c>
      <c r="AG49" s="672" t="str">
        <f t="shared" si="3"/>
        <v>OK</v>
      </c>
      <c r="AH49" s="672" t="str">
        <f t="shared" si="4"/>
        <v>OK</v>
      </c>
      <c r="AI49" s="672" t="str">
        <f t="shared" si="5"/>
        <v>OK</v>
      </c>
      <c r="AJ49" s="672" t="str">
        <f t="shared" si="6"/>
        <v>OK</v>
      </c>
      <c r="AK49" s="672" t="str">
        <f t="shared" si="7"/>
        <v>OK</v>
      </c>
      <c r="AL49" s="332" t="b">
        <f>AA49=W49*1.5</f>
        <v>1</v>
      </c>
    </row>
    <row r="50" spans="1:38" ht="7.5" customHeight="1" thickTop="1" x14ac:dyDescent="0.2">
      <c r="A50" s="554"/>
      <c r="B50" s="682"/>
      <c r="C50" s="648"/>
      <c r="D50" s="625"/>
      <c r="E50" s="625"/>
      <c r="F50" s="625"/>
      <c r="G50" s="988"/>
      <c r="H50" s="625"/>
      <c r="I50" s="625"/>
      <c r="J50" s="625"/>
      <c r="K50" s="625"/>
      <c r="L50" s="625"/>
      <c r="M50" s="625"/>
      <c r="N50" s="988"/>
      <c r="O50" s="625"/>
      <c r="P50" s="625"/>
      <c r="Q50" s="625"/>
      <c r="R50" s="625"/>
      <c r="S50" s="625"/>
      <c r="T50" s="625"/>
      <c r="U50" s="625"/>
      <c r="V50" s="625"/>
      <c r="W50" s="625"/>
      <c r="X50" s="988"/>
      <c r="Y50" s="988"/>
      <c r="Z50" s="988"/>
      <c r="AA50" s="625"/>
      <c r="AB50" s="648"/>
      <c r="AC50" s="615"/>
      <c r="AL50" s="616"/>
    </row>
    <row r="51" spans="1:38" ht="18.75" customHeight="1" x14ac:dyDescent="0.2">
      <c r="A51" s="442"/>
      <c r="B51" s="683" t="str">
        <f>"Version: "&amp;D58</f>
        <v>Version: 2.01.E0</v>
      </c>
      <c r="C51" s="442"/>
      <c r="D51" s="442"/>
      <c r="E51" s="442"/>
      <c r="F51" s="442"/>
      <c r="G51" s="442"/>
      <c r="H51" s="442"/>
      <c r="I51" s="442"/>
      <c r="J51" s="442"/>
      <c r="K51" s="442"/>
      <c r="L51" s="442"/>
      <c r="M51" s="442"/>
      <c r="N51" s="442"/>
      <c r="O51" s="442"/>
      <c r="P51" s="442"/>
      <c r="Q51" s="442"/>
      <c r="R51" s="442"/>
      <c r="S51" s="442"/>
      <c r="T51" s="442"/>
      <c r="U51" s="442"/>
      <c r="V51" s="442"/>
      <c r="W51" s="442"/>
      <c r="X51" s="442"/>
      <c r="Y51" s="442"/>
      <c r="Z51" s="442"/>
      <c r="AA51" s="442"/>
      <c r="AB51" s="685" t="s">
        <v>24</v>
      </c>
      <c r="AC51" s="615"/>
      <c r="AL51" s="616"/>
    </row>
    <row r="52" spans="1:38" ht="18.75" customHeight="1" x14ac:dyDescent="0.2">
      <c r="A52" s="442"/>
      <c r="B52" s="442"/>
      <c r="C52" s="442"/>
      <c r="D52" s="442"/>
      <c r="E52" s="442"/>
      <c r="F52" s="442"/>
      <c r="G52" s="442"/>
      <c r="H52" s="442"/>
      <c r="I52" s="442"/>
      <c r="J52" s="442"/>
      <c r="K52" s="442"/>
      <c r="L52" s="442"/>
      <c r="M52" s="442"/>
      <c r="N52" s="442"/>
      <c r="O52" s="442"/>
      <c r="P52" s="442"/>
      <c r="Q52" s="442"/>
      <c r="R52" s="442"/>
      <c r="S52" s="442"/>
      <c r="T52" s="442"/>
      <c r="U52" s="442"/>
      <c r="AL52" s="616"/>
    </row>
    <row r="53" spans="1:38" ht="18.75" customHeight="1" x14ac:dyDescent="0.2">
      <c r="U53" s="684"/>
      <c r="AL53" s="616"/>
    </row>
    <row r="54" spans="1:38" ht="18.75" customHeight="1" x14ac:dyDescent="0.2">
      <c r="U54" s="684"/>
    </row>
    <row r="55" spans="1:38" ht="18.75" customHeight="1" x14ac:dyDescent="0.2">
      <c r="B55" s="608"/>
      <c r="C55" s="685" t="s">
        <v>24</v>
      </c>
      <c r="D55" s="686" t="str">
        <f>AA2</f>
        <v>XXXXXX</v>
      </c>
    </row>
    <row r="56" spans="1:38" ht="18.75" customHeight="1" x14ac:dyDescent="0.2">
      <c r="B56" s="623"/>
      <c r="D56" s="687" t="str">
        <f>AA1</f>
        <v>P_CRSABIS_12</v>
      </c>
    </row>
    <row r="57" spans="1:38" ht="18.75" customHeight="1" x14ac:dyDescent="0.2">
      <c r="B57" s="623"/>
      <c r="D57" s="688" t="str">
        <f>AA3</f>
        <v>DD.MM.YYYY</v>
      </c>
    </row>
    <row r="58" spans="1:38" ht="18.75" customHeight="1" x14ac:dyDescent="0.2">
      <c r="B58" s="689"/>
      <c r="D58" s="690" t="s">
        <v>23</v>
      </c>
    </row>
    <row r="59" spans="1:38" ht="18.75" customHeight="1" x14ac:dyDescent="0.2">
      <c r="B59" s="623"/>
      <c r="D59" s="687" t="str">
        <f>D13</f>
        <v>col. 01</v>
      </c>
    </row>
    <row r="60" spans="1:38" ht="18.75" customHeight="1" x14ac:dyDescent="0.2">
      <c r="B60" s="691"/>
      <c r="C60" s="648"/>
      <c r="D60" s="589">
        <f>COUNTIF(D64:AA68,"ERROR")+COUNTIF(AE14:AL49,"ERROR")</f>
        <v>12</v>
      </c>
    </row>
    <row r="61" spans="1:38" ht="20.85" customHeight="1" x14ac:dyDescent="0.2">
      <c r="B61" s="441"/>
      <c r="C61" s="692"/>
      <c r="D61" s="590"/>
    </row>
    <row r="62" spans="1:38" x14ac:dyDescent="0.2">
      <c r="B62" s="441"/>
      <c r="C62" s="692"/>
      <c r="D62" s="591"/>
      <c r="G62" s="625"/>
      <c r="N62" s="625"/>
      <c r="X62" s="625"/>
      <c r="Y62" s="625"/>
      <c r="Z62" s="625"/>
    </row>
    <row r="63" spans="1:38" x14ac:dyDescent="0.2">
      <c r="D63" s="575" t="s">
        <v>22</v>
      </c>
      <c r="E63" s="575" t="s">
        <v>21</v>
      </c>
      <c r="F63" s="575" t="s">
        <v>20</v>
      </c>
      <c r="G63" s="575" t="s">
        <v>19</v>
      </c>
      <c r="H63" s="575" t="s">
        <v>18</v>
      </c>
      <c r="I63" s="575" t="s">
        <v>17</v>
      </c>
      <c r="J63" s="575" t="s">
        <v>16</v>
      </c>
      <c r="K63" s="575" t="s">
        <v>15</v>
      </c>
      <c r="L63" s="575" t="s">
        <v>14</v>
      </c>
      <c r="M63" s="575" t="s">
        <v>13</v>
      </c>
      <c r="N63" s="575" t="s">
        <v>12</v>
      </c>
      <c r="O63" s="575" t="s">
        <v>11</v>
      </c>
      <c r="P63" s="575" t="s">
        <v>10</v>
      </c>
      <c r="Q63" s="575" t="s">
        <v>9</v>
      </c>
      <c r="R63" s="575" t="s">
        <v>8</v>
      </c>
      <c r="S63" s="575" t="s">
        <v>7</v>
      </c>
      <c r="T63" s="575" t="s">
        <v>6</v>
      </c>
      <c r="U63" s="575" t="s">
        <v>5</v>
      </c>
      <c r="V63" s="575" t="s">
        <v>1420</v>
      </c>
      <c r="W63" s="575" t="s">
        <v>1421</v>
      </c>
      <c r="X63" s="575" t="s">
        <v>1422</v>
      </c>
      <c r="Y63" s="575" t="s">
        <v>1423</v>
      </c>
      <c r="Z63" s="575" t="s">
        <v>1424</v>
      </c>
      <c r="AA63" s="575" t="s">
        <v>1425</v>
      </c>
      <c r="AC63" s="442"/>
    </row>
    <row r="64" spans="1:38" x14ac:dyDescent="0.2">
      <c r="B64" s="693" t="s">
        <v>1795</v>
      </c>
      <c r="C64" s="695"/>
      <c r="D64" s="577" t="str">
        <f>IF(ROUND(D18+D19+D20+D21+D22,0)=ROUND(D14,0),"OK","ERROR")</f>
        <v>ERROR</v>
      </c>
      <c r="E64" s="577" t="str">
        <f t="shared" ref="E64:AA64" si="27">IF(ROUND(E18+E19+E20+E21+E22,0)=ROUND(E14,0),"OK","ERROR")</f>
        <v>OK</v>
      </c>
      <c r="F64" s="577" t="str">
        <f t="shared" si="27"/>
        <v>ERROR</v>
      </c>
      <c r="G64" s="577" t="str">
        <f t="shared" si="27"/>
        <v>OK</v>
      </c>
      <c r="H64" s="577" t="str">
        <f t="shared" si="27"/>
        <v>OK</v>
      </c>
      <c r="I64" s="577" t="str">
        <f t="shared" si="27"/>
        <v>OK</v>
      </c>
      <c r="J64" s="577" t="str">
        <f t="shared" si="27"/>
        <v>OK</v>
      </c>
      <c r="K64" s="577" t="str">
        <f t="shared" si="27"/>
        <v>OK</v>
      </c>
      <c r="L64" s="577" t="str">
        <f t="shared" si="27"/>
        <v>OK</v>
      </c>
      <c r="M64" s="577" t="str">
        <f t="shared" si="27"/>
        <v>OK</v>
      </c>
      <c r="N64" s="577" t="str">
        <f t="shared" si="27"/>
        <v>OK</v>
      </c>
      <c r="O64" s="577" t="str">
        <f t="shared" si="27"/>
        <v>ERROR</v>
      </c>
      <c r="P64" s="577" t="str">
        <f t="shared" si="27"/>
        <v>OK</v>
      </c>
      <c r="Q64" s="577" t="str">
        <f t="shared" si="27"/>
        <v>OK</v>
      </c>
      <c r="R64" s="577" t="str">
        <f t="shared" si="27"/>
        <v>OK</v>
      </c>
      <c r="S64" s="577" t="str">
        <f t="shared" si="27"/>
        <v>OK</v>
      </c>
      <c r="T64" s="577" t="str">
        <f t="shared" si="27"/>
        <v>OK</v>
      </c>
      <c r="U64" s="577" t="str">
        <f t="shared" si="27"/>
        <v>ERROR</v>
      </c>
      <c r="V64" s="577" t="str">
        <f t="shared" si="27"/>
        <v>OK</v>
      </c>
      <c r="W64" s="577" t="str">
        <f t="shared" si="27"/>
        <v>ERROR</v>
      </c>
      <c r="X64" s="577" t="str">
        <f t="shared" si="27"/>
        <v>OK</v>
      </c>
      <c r="Y64" s="577" t="str">
        <f t="shared" si="27"/>
        <v>OK</v>
      </c>
      <c r="Z64" s="577" t="str">
        <f t="shared" si="27"/>
        <v>OK</v>
      </c>
      <c r="AA64" s="577" t="str">
        <f t="shared" si="27"/>
        <v>ERROR</v>
      </c>
      <c r="AC64" s="442"/>
    </row>
    <row r="65" spans="2:38" x14ac:dyDescent="0.2">
      <c r="B65" s="693" t="s">
        <v>1796</v>
      </c>
      <c r="C65" s="695"/>
      <c r="D65" s="577" t="str">
        <f>IF(ROUND(D25,0)&lt;=ROUND(D24,0),"OK","ERROR")</f>
        <v>OK</v>
      </c>
      <c r="E65" s="577" t="str">
        <f t="shared" ref="E65:AA65" si="28">IF(ROUND(E25,0)&lt;=ROUND(E24,0),"OK","ERROR")</f>
        <v>OK</v>
      </c>
      <c r="F65" s="577" t="str">
        <f t="shared" si="28"/>
        <v>OK</v>
      </c>
      <c r="G65" s="577" t="str">
        <f t="shared" si="28"/>
        <v>OK</v>
      </c>
      <c r="H65" s="577" t="str">
        <f t="shared" si="28"/>
        <v>OK</v>
      </c>
      <c r="I65" s="577" t="str">
        <f t="shared" si="28"/>
        <v>OK</v>
      </c>
      <c r="J65" s="577" t="str">
        <f t="shared" si="28"/>
        <v>OK</v>
      </c>
      <c r="K65" s="577" t="str">
        <f t="shared" si="28"/>
        <v>OK</v>
      </c>
      <c r="L65" s="577" t="str">
        <f t="shared" si="28"/>
        <v>OK</v>
      </c>
      <c r="M65" s="577" t="str">
        <f t="shared" si="28"/>
        <v>OK</v>
      </c>
      <c r="N65" s="577" t="str">
        <f t="shared" si="28"/>
        <v>OK</v>
      </c>
      <c r="O65" s="577" t="str">
        <f t="shared" si="28"/>
        <v>OK</v>
      </c>
      <c r="P65" s="577" t="str">
        <f t="shared" si="28"/>
        <v>OK</v>
      </c>
      <c r="Q65" s="577" t="str">
        <f t="shared" si="28"/>
        <v>OK</v>
      </c>
      <c r="R65" s="577" t="str">
        <f t="shared" si="28"/>
        <v>OK</v>
      </c>
      <c r="S65" s="577" t="str">
        <f t="shared" si="28"/>
        <v>OK</v>
      </c>
      <c r="T65" s="577" t="str">
        <f t="shared" si="28"/>
        <v>OK</v>
      </c>
      <c r="U65" s="577" t="str">
        <f t="shared" si="28"/>
        <v>OK</v>
      </c>
      <c r="V65" s="577" t="str">
        <f t="shared" si="28"/>
        <v>OK</v>
      </c>
      <c r="W65" s="577" t="str">
        <f t="shared" si="28"/>
        <v>OK</v>
      </c>
      <c r="X65" s="577" t="str">
        <f t="shared" si="28"/>
        <v>OK</v>
      </c>
      <c r="Y65" s="577" t="str">
        <f t="shared" si="28"/>
        <v>OK</v>
      </c>
      <c r="Z65" s="577" t="str">
        <f t="shared" si="28"/>
        <v>OK</v>
      </c>
      <c r="AA65" s="577" t="str">
        <f t="shared" si="28"/>
        <v>OK</v>
      </c>
      <c r="AC65" s="442"/>
    </row>
    <row r="66" spans="2:38" x14ac:dyDescent="0.2">
      <c r="B66" s="693" t="s">
        <v>1797</v>
      </c>
      <c r="C66" s="695"/>
      <c r="D66" s="577" t="str">
        <f>IF(ROUND(D27,0)&lt;=ROUND(D26,0),"OK","ERROR")</f>
        <v>OK</v>
      </c>
      <c r="E66" s="577" t="str">
        <f t="shared" ref="E66:AA66" si="29">IF(ROUND(E27,0)&lt;=ROUND(E26,0),"OK","ERROR")</f>
        <v>OK</v>
      </c>
      <c r="F66" s="577" t="str">
        <f t="shared" si="29"/>
        <v>OK</v>
      </c>
      <c r="G66" s="577" t="str">
        <f t="shared" si="29"/>
        <v>OK</v>
      </c>
      <c r="H66" s="577" t="str">
        <f t="shared" si="29"/>
        <v>OK</v>
      </c>
      <c r="I66" s="577" t="str">
        <f t="shared" si="29"/>
        <v>OK</v>
      </c>
      <c r="J66" s="577" t="str">
        <f t="shared" si="29"/>
        <v>OK</v>
      </c>
      <c r="K66" s="577" t="str">
        <f t="shared" si="29"/>
        <v>OK</v>
      </c>
      <c r="L66" s="577" t="str">
        <f t="shared" si="29"/>
        <v>OK</v>
      </c>
      <c r="M66" s="577" t="str">
        <f t="shared" si="29"/>
        <v>OK</v>
      </c>
      <c r="N66" s="577" t="str">
        <f t="shared" si="29"/>
        <v>OK</v>
      </c>
      <c r="O66" s="577" t="str">
        <f t="shared" si="29"/>
        <v>OK</v>
      </c>
      <c r="P66" s="577" t="str">
        <f t="shared" si="29"/>
        <v>OK</v>
      </c>
      <c r="Q66" s="577" t="str">
        <f t="shared" si="29"/>
        <v>OK</v>
      </c>
      <c r="R66" s="577" t="str">
        <f t="shared" si="29"/>
        <v>OK</v>
      </c>
      <c r="S66" s="577" t="str">
        <f t="shared" si="29"/>
        <v>OK</v>
      </c>
      <c r="T66" s="577" t="str">
        <f t="shared" si="29"/>
        <v>OK</v>
      </c>
      <c r="U66" s="577" t="str">
        <f t="shared" si="29"/>
        <v>OK</v>
      </c>
      <c r="V66" s="577" t="str">
        <f t="shared" si="29"/>
        <v>OK</v>
      </c>
      <c r="W66" s="577" t="str">
        <f t="shared" si="29"/>
        <v>OK</v>
      </c>
      <c r="X66" s="577" t="str">
        <f t="shared" si="29"/>
        <v>OK</v>
      </c>
      <c r="Y66" s="577" t="str">
        <f t="shared" si="29"/>
        <v>OK</v>
      </c>
      <c r="Z66" s="577" t="str">
        <f t="shared" si="29"/>
        <v>OK</v>
      </c>
      <c r="AA66" s="577" t="str">
        <f t="shared" si="29"/>
        <v>OK</v>
      </c>
      <c r="AC66" s="442"/>
    </row>
    <row r="67" spans="2:38" x14ac:dyDescent="0.2">
      <c r="B67" s="693" t="s">
        <v>1772</v>
      </c>
      <c r="C67" s="695"/>
      <c r="D67" s="577" t="str">
        <f>IF(ROUND(D29,0)&lt;=ROUND(D28,0),"OK","ERROR")</f>
        <v>OK</v>
      </c>
      <c r="E67" s="577" t="str">
        <f t="shared" ref="E67:AA67" si="30">IF(ROUND(E29,0)&lt;=ROUND(E28,0),"OK","ERROR")</f>
        <v>OK</v>
      </c>
      <c r="F67" s="577" t="str">
        <f t="shared" si="30"/>
        <v>OK</v>
      </c>
      <c r="G67" s="577" t="str">
        <f t="shared" si="30"/>
        <v>OK</v>
      </c>
      <c r="H67" s="577" t="str">
        <f t="shared" si="30"/>
        <v>OK</v>
      </c>
      <c r="I67" s="577" t="str">
        <f t="shared" si="30"/>
        <v>OK</v>
      </c>
      <c r="J67" s="577" t="str">
        <f t="shared" si="30"/>
        <v>OK</v>
      </c>
      <c r="K67" s="577" t="str">
        <f t="shared" si="30"/>
        <v>OK</v>
      </c>
      <c r="L67" s="577" t="str">
        <f t="shared" si="30"/>
        <v>OK</v>
      </c>
      <c r="M67" s="577" t="str">
        <f t="shared" si="30"/>
        <v>OK</v>
      </c>
      <c r="N67" s="577" t="str">
        <f t="shared" si="30"/>
        <v>OK</v>
      </c>
      <c r="O67" s="577" t="str">
        <f t="shared" si="30"/>
        <v>OK</v>
      </c>
      <c r="P67" s="577" t="str">
        <f t="shared" si="30"/>
        <v>OK</v>
      </c>
      <c r="Q67" s="577" t="str">
        <f t="shared" si="30"/>
        <v>OK</v>
      </c>
      <c r="R67" s="577" t="str">
        <f t="shared" si="30"/>
        <v>OK</v>
      </c>
      <c r="S67" s="577" t="str">
        <f t="shared" si="30"/>
        <v>OK</v>
      </c>
      <c r="T67" s="577" t="str">
        <f t="shared" si="30"/>
        <v>OK</v>
      </c>
      <c r="U67" s="577" t="str">
        <f t="shared" si="30"/>
        <v>OK</v>
      </c>
      <c r="V67" s="577" t="str">
        <f t="shared" si="30"/>
        <v>OK</v>
      </c>
      <c r="W67" s="577" t="str">
        <f t="shared" si="30"/>
        <v>OK</v>
      </c>
      <c r="X67" s="577" t="str">
        <f t="shared" si="30"/>
        <v>OK</v>
      </c>
      <c r="Y67" s="577" t="str">
        <f t="shared" si="30"/>
        <v>OK</v>
      </c>
      <c r="Z67" s="577" t="str">
        <f t="shared" si="30"/>
        <v>OK</v>
      </c>
      <c r="AA67" s="577" t="str">
        <f t="shared" si="30"/>
        <v>OK</v>
      </c>
      <c r="AC67" s="442"/>
    </row>
    <row r="68" spans="2:38" x14ac:dyDescent="0.2">
      <c r="B68" s="693" t="s">
        <v>1798</v>
      </c>
      <c r="C68" s="695"/>
      <c r="D68" s="577" t="str">
        <f>IF(ROUND(D23-D25-D27-D29,0)=ROUND(D36,0),"OK","ERROR")</f>
        <v>ERROR</v>
      </c>
      <c r="E68" s="577" t="str">
        <f t="shared" ref="E68:AA68" si="31">IF(ROUND(E23-E25-E27-E29,0)=ROUND(E36,0),"OK","ERROR")</f>
        <v>OK</v>
      </c>
      <c r="F68" s="577" t="str">
        <f t="shared" si="31"/>
        <v>ERROR</v>
      </c>
      <c r="G68" s="577" t="str">
        <f t="shared" si="31"/>
        <v>OK</v>
      </c>
      <c r="H68" s="577" t="str">
        <f t="shared" si="31"/>
        <v>ERROR</v>
      </c>
      <c r="I68" s="577" t="str">
        <f t="shared" si="31"/>
        <v>OK</v>
      </c>
      <c r="J68" s="577" t="str">
        <f t="shared" si="31"/>
        <v>OK</v>
      </c>
      <c r="K68" s="577" t="str">
        <f t="shared" si="31"/>
        <v>OK</v>
      </c>
      <c r="L68" s="577" t="str">
        <f t="shared" si="31"/>
        <v>OK</v>
      </c>
      <c r="M68" s="577" t="str">
        <f t="shared" si="31"/>
        <v>OK</v>
      </c>
      <c r="N68" s="577" t="str">
        <f t="shared" si="31"/>
        <v>OK</v>
      </c>
      <c r="O68" s="577" t="str">
        <f t="shared" si="31"/>
        <v>ERROR</v>
      </c>
      <c r="P68" s="577" t="str">
        <f t="shared" si="31"/>
        <v>OK</v>
      </c>
      <c r="Q68" s="577" t="str">
        <f t="shared" si="31"/>
        <v>OK</v>
      </c>
      <c r="R68" s="577" t="str">
        <f t="shared" si="31"/>
        <v>OK</v>
      </c>
      <c r="S68" s="577" t="str">
        <f t="shared" si="31"/>
        <v>OK</v>
      </c>
      <c r="T68" s="577" t="str">
        <f t="shared" si="31"/>
        <v>OK</v>
      </c>
      <c r="U68" s="577" t="str">
        <f t="shared" si="31"/>
        <v>ERROR</v>
      </c>
      <c r="V68" s="577" t="str">
        <f t="shared" si="31"/>
        <v>OK</v>
      </c>
      <c r="W68" s="577" t="str">
        <f t="shared" si="31"/>
        <v>ERROR</v>
      </c>
      <c r="X68" s="577" t="str">
        <f t="shared" si="31"/>
        <v>OK</v>
      </c>
      <c r="Y68" s="577" t="str">
        <f t="shared" si="31"/>
        <v>OK</v>
      </c>
      <c r="Z68" s="577" t="str">
        <f t="shared" si="31"/>
        <v>OK</v>
      </c>
      <c r="AA68" s="577" t="str">
        <f t="shared" si="31"/>
        <v>OK</v>
      </c>
      <c r="AL68" s="616"/>
    </row>
    <row r="69" spans="2:38" x14ac:dyDescent="0.2">
      <c r="AL69" s="616"/>
    </row>
    <row r="70" spans="2:38" x14ac:dyDescent="0.2">
      <c r="AL70" s="616"/>
    </row>
    <row r="71" spans="2:38" x14ac:dyDescent="0.2">
      <c r="AL71" s="616"/>
    </row>
    <row r="72" spans="2:38" x14ac:dyDescent="0.2">
      <c r="AL72" s="616"/>
    </row>
    <row r="73" spans="2:38" x14ac:dyDescent="0.2">
      <c r="AL73" s="616"/>
    </row>
    <row r="74" spans="2:38" x14ac:dyDescent="0.2">
      <c r="AL74" s="616"/>
    </row>
    <row r="75" spans="2:38" x14ac:dyDescent="0.2">
      <c r="AL75" s="616"/>
    </row>
    <row r="76" spans="2:38" x14ac:dyDescent="0.2">
      <c r="AL76" s="616"/>
    </row>
    <row r="77" spans="2:38" x14ac:dyDescent="0.2">
      <c r="AL77" s="616"/>
    </row>
    <row r="78" spans="2:38" x14ac:dyDescent="0.2">
      <c r="AL78" s="616"/>
    </row>
    <row r="79" spans="2:38" x14ac:dyDescent="0.2">
      <c r="AL79" s="616"/>
    </row>
    <row r="80" spans="2:38" x14ac:dyDescent="0.2">
      <c r="AL80" s="616"/>
    </row>
    <row r="81" spans="38:38" x14ac:dyDescent="0.2">
      <c r="AL81" s="616"/>
    </row>
    <row r="82" spans="38:38" x14ac:dyDescent="0.2">
      <c r="AL82" s="616"/>
    </row>
    <row r="83" spans="38:38" x14ac:dyDescent="0.2">
      <c r="AL83" s="616"/>
    </row>
    <row r="84" spans="38:38" x14ac:dyDescent="0.2">
      <c r="AL84" s="616"/>
    </row>
    <row r="85" spans="38:38" x14ac:dyDescent="0.2">
      <c r="AL85" s="616"/>
    </row>
    <row r="86" spans="38:38" x14ac:dyDescent="0.2">
      <c r="AL86" s="616"/>
    </row>
    <row r="87" spans="38:38" x14ac:dyDescent="0.2">
      <c r="AL87" s="616"/>
    </row>
    <row r="88" spans="38:38" x14ac:dyDescent="0.2">
      <c r="AL88" s="616"/>
    </row>
    <row r="89" spans="38:38" x14ac:dyDescent="0.2">
      <c r="AL89" s="616"/>
    </row>
    <row r="90" spans="38:38" x14ac:dyDescent="0.2">
      <c r="AL90" s="616"/>
    </row>
    <row r="91" spans="38:38" x14ac:dyDescent="0.2">
      <c r="AL91" s="616"/>
    </row>
    <row r="92" spans="38:38" x14ac:dyDescent="0.2">
      <c r="AL92" s="616"/>
    </row>
    <row r="93" spans="38:38" x14ac:dyDescent="0.2">
      <c r="AL93" s="616"/>
    </row>
    <row r="94" spans="38:38" x14ac:dyDescent="0.2">
      <c r="AL94" s="616"/>
    </row>
    <row r="95" spans="38:38" x14ac:dyDescent="0.2">
      <c r="AL95" s="616"/>
    </row>
    <row r="96" spans="38:38" x14ac:dyDescent="0.2">
      <c r="AL96" s="616"/>
    </row>
    <row r="97" spans="38:38" x14ac:dyDescent="0.2">
      <c r="AL97" s="616"/>
    </row>
    <row r="98" spans="38:38" x14ac:dyDescent="0.2">
      <c r="AL98" s="616"/>
    </row>
    <row r="99" spans="38:38" x14ac:dyDescent="0.2">
      <c r="AL99" s="616"/>
    </row>
    <row r="100" spans="38:38" x14ac:dyDescent="0.2">
      <c r="AL100" s="616"/>
    </row>
    <row r="101" spans="38:38" x14ac:dyDescent="0.2">
      <c r="AL101" s="616"/>
    </row>
    <row r="102" spans="38:38" x14ac:dyDescent="0.2">
      <c r="AL102" s="616"/>
    </row>
  </sheetData>
  <mergeCells count="4">
    <mergeCell ref="P8:T8"/>
    <mergeCell ref="P9:S9"/>
    <mergeCell ref="S10:S12"/>
    <mergeCell ref="T10:T12"/>
  </mergeCells>
  <conditionalFormatting sqref="D32">
    <cfRule type="cellIs" dxfId="2" priority="1" stopIfTrue="1" operator="equal">
      <formula>$D$64="ERROR"</formula>
    </cfRule>
  </conditionalFormatting>
  <printOptions gridLines="1" gridLinesSet="0"/>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colBreaks count="1" manualBreakCount="1">
    <brk id="15" max="34" man="1"/>
  </col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3">
    <tabColor rgb="FF92D050"/>
  </sheetPr>
  <dimension ref="A1:AQ73"/>
  <sheetViews>
    <sheetView zoomScale="85" zoomScaleNormal="85" workbookViewId="0">
      <selection activeCell="B4" sqref="B4"/>
    </sheetView>
  </sheetViews>
  <sheetFormatPr defaultColWidth="11.42578125" defaultRowHeight="12.75" x14ac:dyDescent="0.2"/>
  <cols>
    <col min="1" max="1" width="8.42578125" style="616" customWidth="1"/>
    <col min="2" max="2" width="50.5703125" style="616" bestFit="1" customWidth="1"/>
    <col min="3" max="3" width="4.5703125" style="616" customWidth="1"/>
    <col min="4" max="7" width="20.42578125" style="616" customWidth="1"/>
    <col min="8" max="9" width="15.5703125" style="616" customWidth="1"/>
    <col min="10" max="11" width="16.42578125" style="616" customWidth="1"/>
    <col min="12" max="12" width="15.5703125" style="616" customWidth="1"/>
    <col min="13" max="13" width="17.5703125" style="616" customWidth="1"/>
    <col min="14" max="14" width="20.42578125" style="616" customWidth="1"/>
    <col min="15" max="15" width="24.5703125" style="616" customWidth="1"/>
    <col min="16" max="20" width="17.5703125" style="616" customWidth="1"/>
    <col min="21" max="27" width="20.42578125" style="616" customWidth="1"/>
    <col min="28" max="28" width="4.5703125" style="616" customWidth="1"/>
    <col min="29" max="30" width="11.42578125" style="616" customWidth="1"/>
    <col min="31" max="32" width="10.5703125" style="616" bestFit="1" customWidth="1"/>
    <col min="33" max="35" width="14.5703125" style="616" bestFit="1" customWidth="1"/>
    <col min="36" max="36" width="10.5703125" style="616" bestFit="1" customWidth="1"/>
    <col min="37" max="37" width="15.42578125" style="616" bestFit="1" customWidth="1"/>
    <col min="38" max="38" width="33.5703125" style="332" customWidth="1"/>
    <col min="39" max="16384" width="11.42578125" style="616"/>
  </cols>
  <sheetData>
    <row r="1" spans="1:38" ht="25.35" customHeight="1" x14ac:dyDescent="0.25">
      <c r="A1" s="441"/>
      <c r="B1" s="441"/>
      <c r="C1" s="441"/>
      <c r="E1" s="639" t="s">
        <v>1953</v>
      </c>
      <c r="H1" s="618"/>
      <c r="I1" s="618"/>
      <c r="J1" s="618"/>
      <c r="K1" s="618"/>
      <c r="L1" s="618"/>
      <c r="M1" s="640" t="s">
        <v>100</v>
      </c>
      <c r="O1" s="641" t="s">
        <v>2248</v>
      </c>
      <c r="P1" s="618"/>
      <c r="Q1" s="639" t="s">
        <v>1953</v>
      </c>
      <c r="R1" s="618"/>
      <c r="S1" s="618"/>
      <c r="T1" s="618"/>
      <c r="U1" s="618"/>
      <c r="V1" s="618"/>
      <c r="W1" s="618"/>
      <c r="X1" s="618"/>
      <c r="Y1" s="618"/>
      <c r="Z1" s="640" t="s">
        <v>100</v>
      </c>
      <c r="AA1" s="641" t="str">
        <f>O1</f>
        <v>P_CRSABIS_13</v>
      </c>
      <c r="AB1" s="441"/>
    </row>
    <row r="2" spans="1:38" ht="25.35" customHeight="1" x14ac:dyDescent="0.25">
      <c r="A2" s="441"/>
      <c r="B2" s="618"/>
      <c r="C2" s="441"/>
      <c r="E2" s="642" t="s">
        <v>99</v>
      </c>
      <c r="H2" s="618"/>
      <c r="I2" s="618"/>
      <c r="J2" s="618"/>
      <c r="K2" s="618"/>
      <c r="L2" s="442"/>
      <c r="M2" s="640" t="s">
        <v>98</v>
      </c>
      <c r="O2" s="643" t="s">
        <v>119</v>
      </c>
      <c r="P2" s="618"/>
      <c r="Q2" s="642" t="s">
        <v>99</v>
      </c>
      <c r="R2" s="441"/>
      <c r="S2" s="618"/>
      <c r="T2" s="618"/>
      <c r="U2" s="618"/>
      <c r="V2" s="618"/>
      <c r="W2" s="618"/>
      <c r="X2" s="618"/>
      <c r="Y2" s="618"/>
      <c r="Z2" s="640" t="s">
        <v>98</v>
      </c>
      <c r="AA2" s="643" t="str">
        <f>O2</f>
        <v>XXXXXX</v>
      </c>
      <c r="AB2" s="441"/>
    </row>
    <row r="3" spans="1:38" ht="25.35" customHeight="1" x14ac:dyDescent="0.25">
      <c r="A3" s="441"/>
      <c r="B3" s="618"/>
      <c r="C3" s="441"/>
      <c r="E3" s="644" t="s">
        <v>97</v>
      </c>
      <c r="H3" s="618"/>
      <c r="I3" s="618"/>
      <c r="L3" s="442"/>
      <c r="M3" s="640" t="s">
        <v>96</v>
      </c>
      <c r="O3" s="645" t="s">
        <v>121</v>
      </c>
      <c r="P3" s="618"/>
      <c r="Q3" s="644" t="s">
        <v>97</v>
      </c>
      <c r="R3" s="441"/>
      <c r="S3" s="618"/>
      <c r="T3" s="618"/>
      <c r="U3" s="618"/>
      <c r="V3" s="618"/>
      <c r="W3" s="618"/>
      <c r="X3" s="618"/>
      <c r="Y3" s="618"/>
      <c r="Z3" s="640" t="s">
        <v>96</v>
      </c>
      <c r="AA3" s="645" t="str">
        <f>O3</f>
        <v>DD.MM.YYYY</v>
      </c>
      <c r="AB3" s="441"/>
    </row>
    <row r="4" spans="1:38" ht="25.35" customHeight="1" x14ac:dyDescent="0.25">
      <c r="A4" s="441"/>
      <c r="B4" s="618"/>
      <c r="C4" s="441"/>
      <c r="E4" s="620" t="s">
        <v>1463</v>
      </c>
      <c r="J4" s="618"/>
      <c r="K4" s="618"/>
      <c r="L4" s="442"/>
      <c r="M4" s="646"/>
      <c r="O4" s="647"/>
      <c r="P4" s="618"/>
      <c r="Q4" s="620" t="s">
        <v>1463</v>
      </c>
      <c r="R4" s="618"/>
      <c r="S4" s="618"/>
      <c r="T4" s="618"/>
      <c r="U4" s="618"/>
      <c r="V4" s="618"/>
      <c r="W4" s="618"/>
      <c r="X4" s="618"/>
      <c r="Y4" s="618"/>
      <c r="Z4" s="618"/>
      <c r="AA4" s="618"/>
      <c r="AB4" s="441"/>
    </row>
    <row r="5" spans="1:38" ht="25.35" customHeight="1" x14ac:dyDescent="0.2">
      <c r="A5" s="441"/>
      <c r="B5" s="106" t="s">
        <v>2250</v>
      </c>
      <c r="C5" s="441"/>
      <c r="E5" s="616" t="s">
        <v>94</v>
      </c>
      <c r="F5" s="618"/>
      <c r="G5" s="618"/>
      <c r="H5" s="618"/>
      <c r="I5" s="618"/>
      <c r="J5" s="618"/>
      <c r="K5" s="618"/>
      <c r="L5" s="618"/>
      <c r="M5" s="618"/>
      <c r="N5" s="618"/>
      <c r="O5" s="618"/>
      <c r="P5" s="618"/>
      <c r="Q5" s="616" t="s">
        <v>94</v>
      </c>
      <c r="R5" s="618"/>
      <c r="S5" s="618"/>
      <c r="T5" s="618"/>
      <c r="U5" s="618"/>
      <c r="V5" s="618"/>
      <c r="W5" s="618"/>
      <c r="X5" s="618"/>
      <c r="Y5" s="618"/>
      <c r="Z5" s="618"/>
      <c r="AA5" s="618"/>
      <c r="AB5" s="441"/>
    </row>
    <row r="6" spans="1:38" ht="25.35" customHeight="1" x14ac:dyDescent="0.2">
      <c r="A6" s="441"/>
      <c r="B6" s="618"/>
      <c r="C6" s="441"/>
      <c r="D6" s="441"/>
      <c r="AB6" s="441"/>
    </row>
    <row r="7" spans="1:38" ht="25.35" customHeight="1" x14ac:dyDescent="0.2">
      <c r="A7" s="648"/>
      <c r="B7" s="618"/>
      <c r="C7" s="648"/>
      <c r="D7" s="648"/>
      <c r="F7" s="618"/>
      <c r="G7" s="618"/>
      <c r="H7" s="618"/>
      <c r="I7" s="618"/>
      <c r="J7" s="618"/>
      <c r="K7" s="618"/>
      <c r="L7" s="618"/>
      <c r="M7" s="649"/>
      <c r="N7" s="618"/>
      <c r="O7" s="649"/>
      <c r="P7" s="618"/>
      <c r="R7" s="649"/>
      <c r="S7" s="618"/>
      <c r="T7" s="618"/>
      <c r="U7" s="618"/>
      <c r="V7" s="618"/>
      <c r="W7" s="618"/>
      <c r="X7" s="618"/>
      <c r="Y7" s="618"/>
      <c r="Z7" s="618"/>
      <c r="AA7" s="618"/>
      <c r="AB7" s="648"/>
    </row>
    <row r="8" spans="1:38" ht="17.850000000000001" customHeight="1" x14ac:dyDescent="0.25">
      <c r="A8" s="650"/>
      <c r="B8" s="651"/>
      <c r="C8" s="652"/>
      <c r="D8" s="653" t="s">
        <v>93</v>
      </c>
      <c r="E8" s="653" t="s">
        <v>92</v>
      </c>
      <c r="F8" s="654" t="s">
        <v>90</v>
      </c>
      <c r="G8" s="621"/>
      <c r="H8" s="608"/>
      <c r="I8" s="609"/>
      <c r="J8" s="609"/>
      <c r="K8" s="609"/>
      <c r="L8" s="609"/>
      <c r="M8" s="610"/>
      <c r="N8" s="977"/>
      <c r="O8" s="655" t="s">
        <v>90</v>
      </c>
      <c r="P8" s="1678" t="s">
        <v>89</v>
      </c>
      <c r="Q8" s="1679"/>
      <c r="R8" s="1679"/>
      <c r="S8" s="1679"/>
      <c r="T8" s="1680"/>
      <c r="U8" s="1465" t="s">
        <v>88</v>
      </c>
      <c r="V8" s="1465" t="s">
        <v>87</v>
      </c>
      <c r="W8" s="656" t="s">
        <v>86</v>
      </c>
      <c r="X8" s="621"/>
      <c r="Y8" s="621"/>
      <c r="Z8" s="621"/>
      <c r="AA8" s="657" t="s">
        <v>85</v>
      </c>
      <c r="AB8" s="652"/>
      <c r="AC8" s="658"/>
      <c r="AD8" s="658"/>
    </row>
    <row r="9" spans="1:38" ht="51.75" customHeight="1" x14ac:dyDescent="0.25">
      <c r="A9" s="659"/>
      <c r="B9" s="639"/>
      <c r="C9" s="660"/>
      <c r="D9" s="661" t="s">
        <v>83</v>
      </c>
      <c r="E9" s="661" t="s">
        <v>82</v>
      </c>
      <c r="F9" s="662" t="s">
        <v>80</v>
      </c>
      <c r="G9" s="622" t="s">
        <v>1950</v>
      </c>
      <c r="H9" s="629" t="s">
        <v>1951</v>
      </c>
      <c r="I9" s="626"/>
      <c r="J9" s="630"/>
      <c r="K9" s="626"/>
      <c r="L9" s="630"/>
      <c r="M9" s="631"/>
      <c r="N9" s="978" t="s">
        <v>1356</v>
      </c>
      <c r="O9" s="631" t="s">
        <v>80</v>
      </c>
      <c r="P9" s="1681" t="s">
        <v>1402</v>
      </c>
      <c r="Q9" s="1682"/>
      <c r="R9" s="1682"/>
      <c r="S9" s="1683"/>
      <c r="T9" s="663" t="s">
        <v>1764</v>
      </c>
      <c r="U9" s="1466" t="s">
        <v>79</v>
      </c>
      <c r="V9" s="1466" t="s">
        <v>78</v>
      </c>
      <c r="W9" s="664" t="s">
        <v>77</v>
      </c>
      <c r="X9" s="622"/>
      <c r="Y9" s="622"/>
      <c r="Z9" s="622"/>
      <c r="AA9" s="661" t="s">
        <v>76</v>
      </c>
      <c r="AB9" s="660"/>
      <c r="AC9" s="658"/>
      <c r="AD9" s="658"/>
    </row>
    <row r="10" spans="1:38" ht="17.850000000000001" customHeight="1" x14ac:dyDescent="0.25">
      <c r="A10" s="659"/>
      <c r="B10" s="639"/>
      <c r="C10" s="660"/>
      <c r="D10" s="661" t="s">
        <v>75</v>
      </c>
      <c r="E10" s="661" t="s">
        <v>74</v>
      </c>
      <c r="F10" s="662" t="s">
        <v>73</v>
      </c>
      <c r="G10" s="622"/>
      <c r="H10" s="632" t="s">
        <v>1437</v>
      </c>
      <c r="I10" s="626"/>
      <c r="J10" s="626"/>
      <c r="K10" s="626"/>
      <c r="L10" s="626"/>
      <c r="M10" s="633"/>
      <c r="N10" s="978"/>
      <c r="O10" s="631" t="s">
        <v>72</v>
      </c>
      <c r="P10" s="1464" t="s">
        <v>71</v>
      </c>
      <c r="Q10" s="665"/>
      <c r="R10" s="666" t="s">
        <v>70</v>
      </c>
      <c r="S10" s="1684" t="s">
        <v>1465</v>
      </c>
      <c r="T10" s="1684" t="s">
        <v>1439</v>
      </c>
      <c r="U10" s="1466" t="s">
        <v>68</v>
      </c>
      <c r="V10" s="1466" t="s">
        <v>1458</v>
      </c>
      <c r="W10" s="664" t="s">
        <v>1464</v>
      </c>
      <c r="X10" s="622"/>
      <c r="Y10" s="622"/>
      <c r="Z10" s="622"/>
      <c r="AA10" s="664"/>
      <c r="AB10" s="660"/>
      <c r="AC10" s="658"/>
      <c r="AD10" s="658"/>
    </row>
    <row r="11" spans="1:38" ht="17.850000000000001" customHeight="1" x14ac:dyDescent="0.25">
      <c r="A11" s="659"/>
      <c r="B11" s="639"/>
      <c r="C11" s="660"/>
      <c r="D11" s="661"/>
      <c r="E11" s="661" t="s">
        <v>65</v>
      </c>
      <c r="F11" s="662" t="s">
        <v>64</v>
      </c>
      <c r="G11" s="622"/>
      <c r="H11" s="634" t="s">
        <v>1438</v>
      </c>
      <c r="I11" s="627"/>
      <c r="J11" s="635"/>
      <c r="K11" s="627"/>
      <c r="L11" s="627"/>
      <c r="M11" s="636"/>
      <c r="N11" s="978"/>
      <c r="O11" s="631" t="s">
        <v>63</v>
      </c>
      <c r="P11" s="667" t="s">
        <v>62</v>
      </c>
      <c r="Q11" s="663"/>
      <c r="R11" s="663" t="s">
        <v>61</v>
      </c>
      <c r="S11" s="1685"/>
      <c r="T11" s="1685"/>
      <c r="U11" s="1466" t="s">
        <v>59</v>
      </c>
      <c r="V11" s="1466" t="s">
        <v>58</v>
      </c>
      <c r="X11" s="622"/>
      <c r="Y11" s="622"/>
      <c r="Z11" s="622"/>
      <c r="AA11" s="664"/>
      <c r="AB11" s="660"/>
      <c r="AC11" s="658"/>
      <c r="AD11" s="658"/>
    </row>
    <row r="12" spans="1:38" ht="53.25" customHeight="1" x14ac:dyDescent="0.2">
      <c r="A12" s="441"/>
      <c r="B12" s="441"/>
      <c r="C12" s="660"/>
      <c r="D12" s="664"/>
      <c r="E12" s="664" t="s">
        <v>57</v>
      </c>
      <c r="F12" s="662" t="s">
        <v>56</v>
      </c>
      <c r="G12" s="623"/>
      <c r="H12" s="628" t="s">
        <v>34</v>
      </c>
      <c r="I12" s="628">
        <v>0.1</v>
      </c>
      <c r="J12" s="637">
        <v>0.2</v>
      </c>
      <c r="K12" s="628">
        <v>0.4</v>
      </c>
      <c r="L12" s="638">
        <v>0.5</v>
      </c>
      <c r="M12" s="637">
        <v>1</v>
      </c>
      <c r="N12" s="979"/>
      <c r="O12" s="631" t="s">
        <v>55</v>
      </c>
      <c r="P12" s="668" t="s">
        <v>54</v>
      </c>
      <c r="Q12" s="668" t="s">
        <v>53</v>
      </c>
      <c r="R12" s="668" t="s">
        <v>52</v>
      </c>
      <c r="S12" s="1685"/>
      <c r="T12" s="1685"/>
      <c r="U12" s="1466" t="s">
        <v>1466</v>
      </c>
      <c r="V12" s="1466" t="s">
        <v>1459</v>
      </c>
      <c r="W12" s="664"/>
      <c r="X12" s="622" t="s">
        <v>1950</v>
      </c>
      <c r="Y12" s="622" t="s">
        <v>1952</v>
      </c>
      <c r="Z12" s="622" t="s">
        <v>1356</v>
      </c>
      <c r="AA12" s="664"/>
      <c r="AB12" s="660"/>
      <c r="AC12" s="669"/>
      <c r="AD12" s="669"/>
    </row>
    <row r="13" spans="1:38" ht="25.35" customHeight="1" x14ac:dyDescent="0.2">
      <c r="A13" s="618"/>
      <c r="B13" s="649"/>
      <c r="C13" s="670"/>
      <c r="D13" s="624" t="s">
        <v>22</v>
      </c>
      <c r="E13" s="624" t="s">
        <v>21</v>
      </c>
      <c r="F13" s="624" t="s">
        <v>20</v>
      </c>
      <c r="G13" s="624" t="s">
        <v>19</v>
      </c>
      <c r="H13" s="624" t="s">
        <v>18</v>
      </c>
      <c r="I13" s="624" t="s">
        <v>17</v>
      </c>
      <c r="J13" s="624" t="s">
        <v>16</v>
      </c>
      <c r="K13" s="624" t="s">
        <v>15</v>
      </c>
      <c r="L13" s="624" t="s">
        <v>14</v>
      </c>
      <c r="M13" s="624" t="s">
        <v>13</v>
      </c>
      <c r="N13" s="624" t="s">
        <v>12</v>
      </c>
      <c r="O13" s="624" t="s">
        <v>11</v>
      </c>
      <c r="P13" s="624" t="s">
        <v>10</v>
      </c>
      <c r="Q13" s="624" t="s">
        <v>9</v>
      </c>
      <c r="R13" s="624" t="s">
        <v>8</v>
      </c>
      <c r="S13" s="624" t="s">
        <v>7</v>
      </c>
      <c r="T13" s="624" t="s">
        <v>6</v>
      </c>
      <c r="U13" s="624" t="s">
        <v>5</v>
      </c>
      <c r="V13" s="624" t="s">
        <v>1420</v>
      </c>
      <c r="W13" s="624" t="s">
        <v>1421</v>
      </c>
      <c r="X13" s="624" t="s">
        <v>1422</v>
      </c>
      <c r="Y13" s="624" t="s">
        <v>1423</v>
      </c>
      <c r="Z13" s="624" t="s">
        <v>1424</v>
      </c>
      <c r="AA13" s="624" t="s">
        <v>1425</v>
      </c>
      <c r="AB13" s="670"/>
      <c r="AD13" s="441"/>
      <c r="AE13" s="260" t="s">
        <v>47</v>
      </c>
      <c r="AF13" s="260" t="s">
        <v>46</v>
      </c>
      <c r="AG13" s="1463" t="s">
        <v>1749</v>
      </c>
      <c r="AH13" s="1463" t="s">
        <v>1750</v>
      </c>
      <c r="AI13" s="1463" t="s">
        <v>1751</v>
      </c>
      <c r="AJ13" s="260" t="s">
        <v>1752</v>
      </c>
      <c r="AK13" s="1463" t="s">
        <v>1753</v>
      </c>
      <c r="AL13" s="563" t="s">
        <v>1792</v>
      </c>
    </row>
    <row r="14" spans="1:38" ht="25.35" customHeight="1" thickBot="1" x14ac:dyDescent="0.25">
      <c r="A14" s="1010">
        <v>1</v>
      </c>
      <c r="B14" s="671" t="s">
        <v>39</v>
      </c>
      <c r="C14" s="1467" t="s">
        <v>241</v>
      </c>
      <c r="D14" s="292">
        <f t="shared" ref="D14:AA14" si="0">D23+D33+D34+D35</f>
        <v>95100000</v>
      </c>
      <c r="E14" s="292">
        <f t="shared" si="0"/>
        <v>0</v>
      </c>
      <c r="F14" s="292">
        <f t="shared" si="0"/>
        <v>95100000</v>
      </c>
      <c r="G14" s="292">
        <f t="shared" si="0"/>
        <v>0</v>
      </c>
      <c r="H14" s="292">
        <f t="shared" si="0"/>
        <v>40000</v>
      </c>
      <c r="I14" s="292">
        <f t="shared" si="0"/>
        <v>0</v>
      </c>
      <c r="J14" s="292">
        <f t="shared" si="0"/>
        <v>0</v>
      </c>
      <c r="K14" s="292">
        <f t="shared" si="0"/>
        <v>0</v>
      </c>
      <c r="L14" s="292">
        <f t="shared" si="0"/>
        <v>0</v>
      </c>
      <c r="M14" s="292">
        <f t="shared" si="0"/>
        <v>0</v>
      </c>
      <c r="N14" s="292">
        <f t="shared" si="0"/>
        <v>0</v>
      </c>
      <c r="O14" s="292">
        <f t="shared" si="0"/>
        <v>95060000</v>
      </c>
      <c r="P14" s="292">
        <f t="shared" si="0"/>
        <v>0</v>
      </c>
      <c r="Q14" s="292">
        <f t="shared" si="0"/>
        <v>0</v>
      </c>
      <c r="R14" s="292">
        <f t="shared" si="0"/>
        <v>0</v>
      </c>
      <c r="S14" s="292">
        <f t="shared" si="0"/>
        <v>0</v>
      </c>
      <c r="T14" s="292">
        <f t="shared" si="0"/>
        <v>0</v>
      </c>
      <c r="U14" s="292">
        <f t="shared" si="0"/>
        <v>95060000</v>
      </c>
      <c r="V14" s="292">
        <f t="shared" si="0"/>
        <v>0</v>
      </c>
      <c r="W14" s="292">
        <f t="shared" si="0"/>
        <v>95060000</v>
      </c>
      <c r="X14" s="292">
        <f>X23+X33+X34+X35</f>
        <v>0</v>
      </c>
      <c r="Y14" s="292">
        <f t="shared" si="0"/>
        <v>0</v>
      </c>
      <c r="Z14" s="292">
        <f t="shared" si="0"/>
        <v>0</v>
      </c>
      <c r="AA14" s="292">
        <f t="shared" si="0"/>
        <v>0</v>
      </c>
      <c r="AB14" s="1467" t="s">
        <v>241</v>
      </c>
      <c r="AD14" s="441"/>
      <c r="AE14" s="672" t="str">
        <f t="shared" ref="AE14:AE28" si="1">IF(D14&gt;=0,"OK","ERROR")</f>
        <v>OK</v>
      </c>
      <c r="AF14" s="672" t="str">
        <f t="shared" ref="AF14:AF28" si="2">IF(E14&lt;=0,"OK","ERROR")</f>
        <v>OK</v>
      </c>
      <c r="AG14" s="672" t="str">
        <f t="shared" ref="AG14:AG28" si="3">IF(MIN(F14:O14)&gt;=0,"OK","ERROR")</f>
        <v>OK</v>
      </c>
      <c r="AH14" s="672" t="str">
        <f t="shared" ref="AH14:AH28" si="4">IF(MAX(P14:S14)&lt;=0,"OK","ERROR")</f>
        <v>OK</v>
      </c>
      <c r="AI14" s="672" t="str">
        <f t="shared" ref="AI14:AI28" si="5">IF(MIN(T14:U14)&gt;=0,"OK","ERROR")</f>
        <v>OK</v>
      </c>
      <c r="AJ14" s="672" t="str">
        <f t="shared" ref="AJ14:AJ28" si="6">IF(V14&lt;=0,"OK","ERROR")</f>
        <v>OK</v>
      </c>
      <c r="AK14" s="672" t="str">
        <f t="shared" ref="AK14:AK28" si="7">IF(MIN(W14:AA14)&gt;=0,"OK","ERROR")</f>
        <v>OK</v>
      </c>
    </row>
    <row r="15" spans="1:38" ht="25.35" customHeight="1" thickTop="1" thickBot="1" x14ac:dyDescent="0.25">
      <c r="A15" s="1010">
        <v>2</v>
      </c>
      <c r="B15" s="1468" t="s">
        <v>1496</v>
      </c>
      <c r="C15" s="1422" t="s">
        <v>241</v>
      </c>
      <c r="D15" s="1193"/>
      <c r="E15" s="1193"/>
      <c r="F15" s="923">
        <f>D15+E15</f>
        <v>0</v>
      </c>
      <c r="G15" s="1193"/>
      <c r="H15" s="1193"/>
      <c r="I15" s="1193"/>
      <c r="J15" s="1193"/>
      <c r="K15" s="1193"/>
      <c r="L15" s="1193"/>
      <c r="M15" s="1193"/>
      <c r="N15" s="1193"/>
      <c r="O15" s="923">
        <f>F15-H15-0.9*I15-0.8*J15-0.6*K15-0.5*L15</f>
        <v>0</v>
      </c>
      <c r="P15" s="1469"/>
      <c r="Q15" s="1469"/>
      <c r="R15" s="1469"/>
      <c r="S15" s="1469"/>
      <c r="T15" s="1469"/>
      <c r="U15" s="1469"/>
      <c r="V15" s="1469"/>
      <c r="W15" s="1193"/>
      <c r="X15" s="1193"/>
      <c r="Y15" s="1193"/>
      <c r="Z15" s="1193"/>
      <c r="AA15" s="1193"/>
      <c r="AB15" s="1422" t="s">
        <v>241</v>
      </c>
      <c r="AD15" s="441"/>
      <c r="AE15" s="672" t="str">
        <f t="shared" si="1"/>
        <v>OK</v>
      </c>
      <c r="AF15" s="672" t="str">
        <f t="shared" si="2"/>
        <v>OK</v>
      </c>
      <c r="AG15" s="672" t="str">
        <f t="shared" si="3"/>
        <v>OK</v>
      </c>
      <c r="AH15" s="672" t="str">
        <f t="shared" si="4"/>
        <v>OK</v>
      </c>
      <c r="AI15" s="672" t="str">
        <f t="shared" si="5"/>
        <v>OK</v>
      </c>
      <c r="AJ15" s="672" t="str">
        <f t="shared" si="6"/>
        <v>OK</v>
      </c>
      <c r="AK15" s="672" t="str">
        <f t="shared" si="7"/>
        <v>OK</v>
      </c>
    </row>
    <row r="16" spans="1:38" ht="25.35" customHeight="1" thickTop="1" thickBot="1" x14ac:dyDescent="0.25">
      <c r="A16" s="1010">
        <v>3</v>
      </c>
      <c r="B16" s="1471" t="s">
        <v>1731</v>
      </c>
      <c r="C16" s="1422" t="s">
        <v>241</v>
      </c>
      <c r="D16" s="915"/>
      <c r="E16" s="915"/>
      <c r="F16" s="923">
        <f>D16+E16</f>
        <v>0</v>
      </c>
      <c r="G16" s="915"/>
      <c r="H16" s="915"/>
      <c r="I16" s="915"/>
      <c r="J16" s="915"/>
      <c r="K16" s="915"/>
      <c r="L16" s="915"/>
      <c r="M16" s="915"/>
      <c r="N16" s="915"/>
      <c r="O16" s="923">
        <f>F16-H16-0.9*I16-0.8*J16-0.6*K16-0.5*L16</f>
        <v>0</v>
      </c>
      <c r="P16" s="1469"/>
      <c r="Q16" s="1469"/>
      <c r="R16" s="1469"/>
      <c r="S16" s="1469"/>
      <c r="T16" s="1469"/>
      <c r="U16" s="1469"/>
      <c r="V16" s="1469"/>
      <c r="W16" s="915"/>
      <c r="X16" s="915"/>
      <c r="Y16" s="915"/>
      <c r="Z16" s="915"/>
      <c r="AA16" s="915"/>
      <c r="AB16" s="1422" t="s">
        <v>241</v>
      </c>
      <c r="AD16" s="441"/>
      <c r="AE16" s="672" t="str">
        <f t="shared" si="1"/>
        <v>OK</v>
      </c>
      <c r="AF16" s="672" t="str">
        <f t="shared" si="2"/>
        <v>OK</v>
      </c>
      <c r="AG16" s="672" t="str">
        <f t="shared" si="3"/>
        <v>OK</v>
      </c>
      <c r="AH16" s="672" t="str">
        <f t="shared" si="4"/>
        <v>OK</v>
      </c>
      <c r="AI16" s="672" t="str">
        <f t="shared" si="5"/>
        <v>OK</v>
      </c>
      <c r="AJ16" s="672" t="str">
        <f t="shared" si="6"/>
        <v>OK</v>
      </c>
      <c r="AK16" s="672" t="str">
        <f t="shared" si="7"/>
        <v>OK</v>
      </c>
    </row>
    <row r="17" spans="1:43" ht="37.5" customHeight="1" thickTop="1" thickBot="1" x14ac:dyDescent="0.25">
      <c r="A17" s="1010">
        <v>4</v>
      </c>
      <c r="B17" s="702" t="s">
        <v>38</v>
      </c>
      <c r="C17" s="293"/>
      <c r="D17" s="292">
        <f>D18+D19+D20+D21+D22</f>
        <v>95470000</v>
      </c>
      <c r="E17" s="292">
        <f t="shared" ref="E17:AA17" si="8">E18+E19+E20+E21+E22</f>
        <v>0</v>
      </c>
      <c r="F17" s="292">
        <f t="shared" si="8"/>
        <v>95470000</v>
      </c>
      <c r="G17" s="292">
        <f t="shared" si="8"/>
        <v>0</v>
      </c>
      <c r="H17" s="292">
        <f t="shared" si="8"/>
        <v>40000</v>
      </c>
      <c r="I17" s="292">
        <f t="shared" si="8"/>
        <v>0</v>
      </c>
      <c r="J17" s="292">
        <f t="shared" si="8"/>
        <v>0</v>
      </c>
      <c r="K17" s="292">
        <f t="shared" si="8"/>
        <v>0</v>
      </c>
      <c r="L17" s="292">
        <f t="shared" si="8"/>
        <v>0</v>
      </c>
      <c r="M17" s="292">
        <f t="shared" si="8"/>
        <v>0</v>
      </c>
      <c r="N17" s="292">
        <f t="shared" si="8"/>
        <v>0</v>
      </c>
      <c r="O17" s="292">
        <f t="shared" si="8"/>
        <v>95430000</v>
      </c>
      <c r="P17" s="1469"/>
      <c r="Q17" s="1469"/>
      <c r="R17" s="1469"/>
      <c r="S17" s="1469"/>
      <c r="T17" s="1469"/>
      <c r="U17" s="1469"/>
      <c r="V17" s="1469"/>
      <c r="W17" s="292">
        <f t="shared" si="8"/>
        <v>95230000</v>
      </c>
      <c r="X17" s="292">
        <f t="shared" si="8"/>
        <v>0</v>
      </c>
      <c r="Y17" s="292">
        <f t="shared" si="8"/>
        <v>0</v>
      </c>
      <c r="Z17" s="292">
        <f t="shared" si="8"/>
        <v>0</v>
      </c>
      <c r="AA17" s="292">
        <f t="shared" si="8"/>
        <v>240000</v>
      </c>
      <c r="AB17" s="293"/>
      <c r="AD17" s="441"/>
      <c r="AE17" s="672" t="str">
        <f t="shared" si="1"/>
        <v>OK</v>
      </c>
      <c r="AF17" s="672" t="str">
        <f t="shared" si="2"/>
        <v>OK</v>
      </c>
      <c r="AG17" s="672" t="str">
        <f t="shared" si="3"/>
        <v>OK</v>
      </c>
      <c r="AH17" s="672" t="str">
        <f t="shared" si="4"/>
        <v>OK</v>
      </c>
      <c r="AI17" s="672" t="str">
        <f t="shared" si="5"/>
        <v>OK</v>
      </c>
      <c r="AJ17" s="672" t="str">
        <f t="shared" si="6"/>
        <v>OK</v>
      </c>
      <c r="AK17" s="672" t="str">
        <f t="shared" si="7"/>
        <v>OK</v>
      </c>
    </row>
    <row r="18" spans="1:43" ht="25.35" customHeight="1" thickTop="1" thickBot="1" x14ac:dyDescent="0.25">
      <c r="A18" s="1010">
        <v>5</v>
      </c>
      <c r="B18" s="676" t="s">
        <v>37</v>
      </c>
      <c r="C18" s="293" t="s">
        <v>241</v>
      </c>
      <c r="D18" s="245">
        <v>95420000</v>
      </c>
      <c r="E18" s="245"/>
      <c r="F18" s="614">
        <f>D18+E18</f>
        <v>95420000</v>
      </c>
      <c r="G18" s="614">
        <f>G23+G33+G34+G3</f>
        <v>0</v>
      </c>
      <c r="H18" s="1469"/>
      <c r="I18" s="1469"/>
      <c r="J18" s="1469"/>
      <c r="K18" s="1469"/>
      <c r="L18" s="1469"/>
      <c r="M18" s="1469"/>
      <c r="N18" s="1469"/>
      <c r="O18" s="923">
        <f t="shared" ref="O18:O21" si="9">F18-H18-0.9*I18-0.8*J18-0.6*K18-0.5*L18</f>
        <v>95420000</v>
      </c>
      <c r="P18" s="1469"/>
      <c r="Q18" s="1469"/>
      <c r="R18" s="1469"/>
      <c r="S18" s="1469"/>
      <c r="T18" s="1469"/>
      <c r="U18" s="1469"/>
      <c r="V18" s="1469"/>
      <c r="W18" s="245">
        <v>95220000</v>
      </c>
      <c r="X18" s="614">
        <f>X23+X33+X34+X3</f>
        <v>0</v>
      </c>
      <c r="Y18" s="1469"/>
      <c r="Z18" s="1469"/>
      <c r="AA18" s="245">
        <v>240000</v>
      </c>
      <c r="AB18" s="293" t="s">
        <v>241</v>
      </c>
      <c r="AD18" s="441"/>
      <c r="AE18" s="672" t="str">
        <f t="shared" si="1"/>
        <v>OK</v>
      </c>
      <c r="AF18" s="672" t="str">
        <f t="shared" si="2"/>
        <v>OK</v>
      </c>
      <c r="AG18" s="672" t="str">
        <f t="shared" si="3"/>
        <v>OK</v>
      </c>
      <c r="AH18" s="672" t="str">
        <f t="shared" si="4"/>
        <v>OK</v>
      </c>
      <c r="AI18" s="672" t="str">
        <f t="shared" si="5"/>
        <v>OK</v>
      </c>
      <c r="AJ18" s="672" t="str">
        <f t="shared" si="6"/>
        <v>OK</v>
      </c>
      <c r="AK18" s="672" t="str">
        <f t="shared" si="7"/>
        <v>OK</v>
      </c>
    </row>
    <row r="19" spans="1:43" ht="25.35" customHeight="1" thickTop="1" thickBot="1" x14ac:dyDescent="0.25">
      <c r="A19" s="1010">
        <v>6</v>
      </c>
      <c r="B19" s="676" t="s">
        <v>36</v>
      </c>
      <c r="C19" s="293" t="s">
        <v>241</v>
      </c>
      <c r="D19" s="245">
        <v>50000</v>
      </c>
      <c r="E19" s="245"/>
      <c r="F19" s="923">
        <f>D19+E19</f>
        <v>50000</v>
      </c>
      <c r="G19" s="1469"/>
      <c r="H19" s="920">
        <f>H23+H33+H34+H35</f>
        <v>40000</v>
      </c>
      <c r="I19" s="920">
        <f t="shared" ref="I19:M19" si="10">I23+I33+I34+I35</f>
        <v>0</v>
      </c>
      <c r="J19" s="920">
        <f t="shared" si="10"/>
        <v>0</v>
      </c>
      <c r="K19" s="920">
        <f t="shared" si="10"/>
        <v>0</v>
      </c>
      <c r="L19" s="920">
        <f t="shared" si="10"/>
        <v>0</v>
      </c>
      <c r="M19" s="920">
        <f t="shared" si="10"/>
        <v>0</v>
      </c>
      <c r="N19" s="1469"/>
      <c r="O19" s="923">
        <f t="shared" si="9"/>
        <v>10000</v>
      </c>
      <c r="P19" s="1469"/>
      <c r="Q19" s="1469"/>
      <c r="R19" s="1469"/>
      <c r="S19" s="1469"/>
      <c r="T19" s="1469"/>
      <c r="U19" s="1469"/>
      <c r="V19" s="1469"/>
      <c r="W19" s="245">
        <v>10000</v>
      </c>
      <c r="X19" s="1469"/>
      <c r="Y19" s="920">
        <f>Y23+Y33+Y34+Y35</f>
        <v>0</v>
      </c>
      <c r="Z19" s="1469"/>
      <c r="AA19" s="916">
        <v>0</v>
      </c>
      <c r="AB19" s="293" t="s">
        <v>241</v>
      </c>
      <c r="AD19" s="441"/>
      <c r="AE19" s="672" t="str">
        <f t="shared" si="1"/>
        <v>OK</v>
      </c>
      <c r="AF19" s="672" t="str">
        <f t="shared" si="2"/>
        <v>OK</v>
      </c>
      <c r="AG19" s="672" t="str">
        <f t="shared" si="3"/>
        <v>OK</v>
      </c>
      <c r="AH19" s="672" t="str">
        <f t="shared" si="4"/>
        <v>OK</v>
      </c>
      <c r="AI19" s="672" t="str">
        <f t="shared" si="5"/>
        <v>OK</v>
      </c>
      <c r="AJ19" s="672" t="str">
        <f t="shared" si="6"/>
        <v>OK</v>
      </c>
      <c r="AK19" s="672" t="str">
        <f t="shared" si="7"/>
        <v>OK</v>
      </c>
    </row>
    <row r="20" spans="1:43" s="678" customFormat="1" ht="14.25" thickTop="1" thickBot="1" x14ac:dyDescent="0.25">
      <c r="A20" s="1010">
        <v>7</v>
      </c>
      <c r="B20" s="676" t="s">
        <v>1955</v>
      </c>
      <c r="C20" s="293" t="s">
        <v>241</v>
      </c>
      <c r="D20" s="245"/>
      <c r="E20" s="245"/>
      <c r="F20" s="923">
        <f t="shared" ref="F20:F22" si="11">D20+E20</f>
        <v>0</v>
      </c>
      <c r="G20" s="1469"/>
      <c r="H20" s="1469"/>
      <c r="I20" s="1469"/>
      <c r="J20" s="1469"/>
      <c r="K20" s="1469"/>
      <c r="L20" s="1469"/>
      <c r="M20" s="1469"/>
      <c r="N20" s="915"/>
      <c r="O20" s="923">
        <f t="shared" si="9"/>
        <v>0</v>
      </c>
      <c r="P20" s="1469"/>
      <c r="Q20" s="1469"/>
      <c r="R20" s="1469"/>
      <c r="S20" s="1469"/>
      <c r="T20" s="1469"/>
      <c r="U20" s="1469"/>
      <c r="V20" s="1469"/>
      <c r="W20" s="245"/>
      <c r="X20" s="1469"/>
      <c r="Y20" s="1469"/>
      <c r="Z20" s="915"/>
      <c r="AA20" s="916"/>
      <c r="AB20" s="293" t="s">
        <v>241</v>
      </c>
      <c r="AC20" s="616"/>
      <c r="AD20" s="441"/>
      <c r="AE20" s="672" t="str">
        <f t="shared" si="1"/>
        <v>OK</v>
      </c>
      <c r="AF20" s="672" t="str">
        <f t="shared" si="2"/>
        <v>OK</v>
      </c>
      <c r="AG20" s="672" t="str">
        <f t="shared" si="3"/>
        <v>OK</v>
      </c>
      <c r="AH20" s="672" t="str">
        <f t="shared" si="4"/>
        <v>OK</v>
      </c>
      <c r="AI20" s="672" t="str">
        <f t="shared" si="5"/>
        <v>OK</v>
      </c>
      <c r="AJ20" s="672" t="str">
        <f t="shared" si="6"/>
        <v>OK</v>
      </c>
      <c r="AK20" s="672" t="str">
        <f t="shared" si="7"/>
        <v>OK</v>
      </c>
      <c r="AL20" s="332"/>
      <c r="AM20" s="616"/>
      <c r="AN20" s="616"/>
      <c r="AO20" s="616"/>
      <c r="AP20" s="616"/>
      <c r="AQ20" s="616"/>
    </row>
    <row r="21" spans="1:43" s="678" customFormat="1" ht="14.25" thickTop="1" thickBot="1" x14ac:dyDescent="0.25">
      <c r="A21" s="1010">
        <v>8</v>
      </c>
      <c r="B21" s="676" t="s">
        <v>1956</v>
      </c>
      <c r="C21" s="293" t="s">
        <v>241</v>
      </c>
      <c r="D21" s="245"/>
      <c r="E21" s="245"/>
      <c r="F21" s="923">
        <f t="shared" si="11"/>
        <v>0</v>
      </c>
      <c r="G21" s="1469"/>
      <c r="H21" s="1469"/>
      <c r="I21" s="1469"/>
      <c r="J21" s="1469"/>
      <c r="K21" s="1469"/>
      <c r="L21" s="1469"/>
      <c r="M21" s="1469"/>
      <c r="N21" s="915"/>
      <c r="O21" s="923">
        <f t="shared" si="9"/>
        <v>0</v>
      </c>
      <c r="P21" s="1469"/>
      <c r="Q21" s="1469"/>
      <c r="R21" s="1469"/>
      <c r="S21" s="1469"/>
      <c r="T21" s="1469"/>
      <c r="U21" s="1469"/>
      <c r="V21" s="1469"/>
      <c r="W21" s="245"/>
      <c r="X21" s="1469"/>
      <c r="Y21" s="1469"/>
      <c r="Z21" s="915"/>
      <c r="AA21" s="916"/>
      <c r="AB21" s="293" t="s">
        <v>241</v>
      </c>
      <c r="AC21" s="616"/>
      <c r="AD21" s="441"/>
      <c r="AE21" s="672" t="str">
        <f t="shared" si="1"/>
        <v>OK</v>
      </c>
      <c r="AF21" s="672" t="str">
        <f t="shared" si="2"/>
        <v>OK</v>
      </c>
      <c r="AG21" s="672" t="str">
        <f t="shared" si="3"/>
        <v>OK</v>
      </c>
      <c r="AH21" s="672" t="str">
        <f t="shared" si="4"/>
        <v>OK</v>
      </c>
      <c r="AI21" s="672" t="str">
        <f t="shared" si="5"/>
        <v>OK</v>
      </c>
      <c r="AJ21" s="672" t="str">
        <f t="shared" si="6"/>
        <v>OK</v>
      </c>
      <c r="AK21" s="672" t="str">
        <f t="shared" si="7"/>
        <v>OK</v>
      </c>
      <c r="AL21" s="332"/>
      <c r="AM21" s="616"/>
      <c r="AN21" s="616"/>
      <c r="AO21" s="616"/>
      <c r="AP21" s="616"/>
      <c r="AQ21" s="616"/>
    </row>
    <row r="22" spans="1:43" s="678" customFormat="1" ht="14.25" thickTop="1" thickBot="1" x14ac:dyDescent="0.25">
      <c r="A22" s="1010">
        <v>9</v>
      </c>
      <c r="B22" s="701" t="s">
        <v>1358</v>
      </c>
      <c r="C22" s="293" t="s">
        <v>241</v>
      </c>
      <c r="D22" s="245"/>
      <c r="E22" s="245"/>
      <c r="F22" s="923">
        <f t="shared" si="11"/>
        <v>0</v>
      </c>
      <c r="G22" s="1469"/>
      <c r="H22" s="1469"/>
      <c r="I22" s="1469"/>
      <c r="J22" s="1469"/>
      <c r="K22" s="1469"/>
      <c r="L22" s="1469"/>
      <c r="M22" s="1469"/>
      <c r="N22" s="915"/>
      <c r="O22" s="923">
        <f>F22-H22-0.9*I22-0.8*J22-0.6*K22-0.5*L22</f>
        <v>0</v>
      </c>
      <c r="P22" s="1469"/>
      <c r="Q22" s="1469"/>
      <c r="R22" s="1469"/>
      <c r="S22" s="1469"/>
      <c r="T22" s="1469"/>
      <c r="U22" s="1469"/>
      <c r="V22" s="1469"/>
      <c r="W22" s="245"/>
      <c r="X22" s="1469"/>
      <c r="Y22" s="1469"/>
      <c r="Z22" s="915"/>
      <c r="AA22" s="916"/>
      <c r="AB22" s="293" t="s">
        <v>241</v>
      </c>
      <c r="AC22" s="616"/>
      <c r="AD22" s="441"/>
      <c r="AE22" s="672" t="str">
        <f t="shared" si="1"/>
        <v>OK</v>
      </c>
      <c r="AF22" s="672" t="str">
        <f t="shared" si="2"/>
        <v>OK</v>
      </c>
      <c r="AG22" s="672" t="str">
        <f t="shared" si="3"/>
        <v>OK</v>
      </c>
      <c r="AH22" s="672" t="str">
        <f t="shared" si="4"/>
        <v>OK</v>
      </c>
      <c r="AI22" s="672" t="str">
        <f t="shared" si="5"/>
        <v>OK</v>
      </c>
      <c r="AJ22" s="672" t="str">
        <f t="shared" si="6"/>
        <v>OK</v>
      </c>
      <c r="AK22" s="672" t="str">
        <f t="shared" si="7"/>
        <v>OK</v>
      </c>
      <c r="AL22" s="332"/>
      <c r="AM22" s="616"/>
      <c r="AN22" s="616"/>
      <c r="AO22" s="616"/>
      <c r="AP22" s="616"/>
      <c r="AQ22" s="616"/>
    </row>
    <row r="23" spans="1:43" ht="87.75" customHeight="1" thickTop="1" thickBot="1" x14ac:dyDescent="0.25">
      <c r="A23" s="1010">
        <v>10</v>
      </c>
      <c r="B23" s="673" t="s">
        <v>1426</v>
      </c>
      <c r="C23" s="293"/>
      <c r="D23" s="920">
        <f t="shared" ref="D23:AA23" si="12">SUM(D24:D32)</f>
        <v>95100000</v>
      </c>
      <c r="E23" s="920">
        <f t="shared" si="12"/>
        <v>0</v>
      </c>
      <c r="F23" s="921">
        <f t="shared" si="12"/>
        <v>95100000</v>
      </c>
      <c r="G23" s="921">
        <f t="shared" si="12"/>
        <v>0</v>
      </c>
      <c r="H23" s="920">
        <f t="shared" si="12"/>
        <v>40000</v>
      </c>
      <c r="I23" s="920">
        <f t="shared" si="12"/>
        <v>0</v>
      </c>
      <c r="J23" s="920">
        <f t="shared" si="12"/>
        <v>0</v>
      </c>
      <c r="K23" s="920">
        <f t="shared" si="12"/>
        <v>0</v>
      </c>
      <c r="L23" s="920">
        <f t="shared" si="12"/>
        <v>0</v>
      </c>
      <c r="M23" s="920">
        <f t="shared" si="12"/>
        <v>0</v>
      </c>
      <c r="N23" s="921">
        <f t="shared" si="12"/>
        <v>0</v>
      </c>
      <c r="O23" s="920">
        <f t="shared" si="12"/>
        <v>95060000</v>
      </c>
      <c r="P23" s="920">
        <f t="shared" si="12"/>
        <v>0</v>
      </c>
      <c r="Q23" s="920">
        <f t="shared" si="12"/>
        <v>0</v>
      </c>
      <c r="R23" s="920">
        <f t="shared" si="12"/>
        <v>0</v>
      </c>
      <c r="S23" s="920">
        <f t="shared" si="12"/>
        <v>0</v>
      </c>
      <c r="T23" s="920">
        <f t="shared" si="12"/>
        <v>0</v>
      </c>
      <c r="U23" s="920">
        <f t="shared" si="12"/>
        <v>95060000</v>
      </c>
      <c r="V23" s="920">
        <f t="shared" si="12"/>
        <v>0</v>
      </c>
      <c r="W23" s="920">
        <f t="shared" si="12"/>
        <v>95060000</v>
      </c>
      <c r="X23" s="921">
        <f t="shared" si="12"/>
        <v>0</v>
      </c>
      <c r="Y23" s="921">
        <f t="shared" si="12"/>
        <v>0</v>
      </c>
      <c r="Z23" s="921">
        <f t="shared" si="12"/>
        <v>0</v>
      </c>
      <c r="AA23" s="921">
        <f t="shared" si="12"/>
        <v>0</v>
      </c>
      <c r="AB23" s="293"/>
      <c r="AD23" s="441"/>
      <c r="AE23" s="672" t="str">
        <f t="shared" si="1"/>
        <v>OK</v>
      </c>
      <c r="AF23" s="672" t="str">
        <f t="shared" si="2"/>
        <v>OK</v>
      </c>
      <c r="AG23" s="672" t="str">
        <f t="shared" si="3"/>
        <v>OK</v>
      </c>
      <c r="AH23" s="672" t="str">
        <f t="shared" si="4"/>
        <v>OK</v>
      </c>
      <c r="AI23" s="672" t="str">
        <f t="shared" si="5"/>
        <v>OK</v>
      </c>
      <c r="AJ23" s="672" t="str">
        <f t="shared" si="6"/>
        <v>OK</v>
      </c>
      <c r="AK23" s="672" t="str">
        <f t="shared" si="7"/>
        <v>OK</v>
      </c>
    </row>
    <row r="24" spans="1:43" ht="25.35" customHeight="1" thickTop="1" thickBot="1" x14ac:dyDescent="0.25">
      <c r="A24" s="1010">
        <v>11</v>
      </c>
      <c r="B24" s="617" t="s">
        <v>1427</v>
      </c>
      <c r="C24" s="293" t="s">
        <v>241</v>
      </c>
      <c r="D24" s="904">
        <v>94890000</v>
      </c>
      <c r="E24" s="904"/>
      <c r="F24" s="923">
        <f t="shared" ref="F24:F37" si="13">D24+E24</f>
        <v>94890000</v>
      </c>
      <c r="G24" s="924"/>
      <c r="H24" s="924">
        <v>0</v>
      </c>
      <c r="I24" s="924"/>
      <c r="J24" s="924"/>
      <c r="K24" s="924"/>
      <c r="L24" s="924"/>
      <c r="M24" s="924"/>
      <c r="N24" s="924"/>
      <c r="O24" s="923">
        <f>F24-H24-0.9*I24-0.8*J24-0.6*K24-0.5*L24</f>
        <v>94890000</v>
      </c>
      <c r="P24" s="1202"/>
      <c r="Q24" s="925"/>
      <c r="R24" s="925"/>
      <c r="S24" s="1204">
        <f>P24+Q24+R24</f>
        <v>0</v>
      </c>
      <c r="T24" s="925"/>
      <c r="U24" s="1204">
        <f>O24+S24+T24</f>
        <v>94890000</v>
      </c>
      <c r="V24" s="925"/>
      <c r="W24" s="1204">
        <f>U24+V24</f>
        <v>94890000</v>
      </c>
      <c r="X24" s="924"/>
      <c r="Y24" s="924"/>
      <c r="Z24" s="924"/>
      <c r="AA24" s="924"/>
      <c r="AB24" s="293" t="s">
        <v>241</v>
      </c>
      <c r="AD24" s="441"/>
      <c r="AE24" s="672" t="str">
        <f t="shared" si="1"/>
        <v>OK</v>
      </c>
      <c r="AF24" s="672" t="str">
        <f t="shared" si="2"/>
        <v>OK</v>
      </c>
      <c r="AG24" s="672" t="str">
        <f t="shared" si="3"/>
        <v>OK</v>
      </c>
      <c r="AH24" s="672" t="str">
        <f t="shared" si="4"/>
        <v>OK</v>
      </c>
      <c r="AI24" s="672" t="str">
        <f t="shared" si="5"/>
        <v>OK</v>
      </c>
      <c r="AJ24" s="672" t="str">
        <f t="shared" si="6"/>
        <v>OK</v>
      </c>
      <c r="AK24" s="672" t="str">
        <f t="shared" si="7"/>
        <v>OK</v>
      </c>
      <c r="AL24" s="332" t="b">
        <f>AA25&gt;=W25*0.3</f>
        <v>1</v>
      </c>
    </row>
    <row r="25" spans="1:43" ht="25.35" customHeight="1" thickTop="1" thickBot="1" x14ac:dyDescent="0.25">
      <c r="A25" s="1010">
        <v>12</v>
      </c>
      <c r="B25" s="617" t="s">
        <v>1460</v>
      </c>
      <c r="C25" s="293" t="s">
        <v>241</v>
      </c>
      <c r="D25" s="916"/>
      <c r="E25" s="916"/>
      <c r="F25" s="923">
        <f t="shared" si="13"/>
        <v>0</v>
      </c>
      <c r="G25" s="915"/>
      <c r="H25" s="915"/>
      <c r="I25" s="915"/>
      <c r="J25" s="915"/>
      <c r="K25" s="915"/>
      <c r="L25" s="915"/>
      <c r="M25" s="915"/>
      <c r="N25" s="915"/>
      <c r="O25" s="923">
        <f t="shared" ref="O25:O34" si="14">F25-H25-0.9*I25-0.8*J25-0.6*K25-0.5*L25</f>
        <v>0</v>
      </c>
      <c r="P25" s="926"/>
      <c r="Q25" s="917"/>
      <c r="R25" s="917"/>
      <c r="S25" s="1204">
        <f t="shared" ref="S25:S34" si="15">P25+Q25+R25</f>
        <v>0</v>
      </c>
      <c r="T25" s="917"/>
      <c r="U25" s="1204">
        <f t="shared" ref="U25:U34" si="16">O25+S25+T25</f>
        <v>0</v>
      </c>
      <c r="V25" s="917"/>
      <c r="W25" s="1204">
        <f t="shared" ref="W25:W34" si="17">U25+V25</f>
        <v>0</v>
      </c>
      <c r="X25" s="915"/>
      <c r="Y25" s="915"/>
      <c r="Z25" s="915"/>
      <c r="AA25" s="916"/>
      <c r="AB25" s="293" t="s">
        <v>241</v>
      </c>
      <c r="AD25" s="441"/>
      <c r="AE25" s="672" t="str">
        <f t="shared" si="1"/>
        <v>OK</v>
      </c>
      <c r="AF25" s="672" t="str">
        <f t="shared" si="2"/>
        <v>OK</v>
      </c>
      <c r="AG25" s="672" t="str">
        <f t="shared" si="3"/>
        <v>OK</v>
      </c>
      <c r="AH25" s="672" t="str">
        <f t="shared" si="4"/>
        <v>OK</v>
      </c>
      <c r="AI25" s="672" t="str">
        <f t="shared" si="5"/>
        <v>OK</v>
      </c>
      <c r="AJ25" s="672" t="str">
        <f t="shared" si="6"/>
        <v>OK</v>
      </c>
      <c r="AK25" s="672" t="str">
        <f t="shared" si="7"/>
        <v>OK</v>
      </c>
      <c r="AL25" s="332" t="b">
        <f>AA26&gt;=W26*0.7</f>
        <v>0</v>
      </c>
    </row>
    <row r="26" spans="1:43" ht="25.35" customHeight="1" thickTop="1" thickBot="1" x14ac:dyDescent="0.25">
      <c r="A26" s="1010">
        <v>13</v>
      </c>
      <c r="B26" s="617" t="s">
        <v>1461</v>
      </c>
      <c r="C26" s="293" t="s">
        <v>241</v>
      </c>
      <c r="D26" s="916">
        <v>20000</v>
      </c>
      <c r="E26" s="916"/>
      <c r="F26" s="922">
        <f t="shared" si="13"/>
        <v>20000</v>
      </c>
      <c r="G26" s="915"/>
      <c r="H26" s="915">
        <v>0</v>
      </c>
      <c r="I26" s="915"/>
      <c r="J26" s="915"/>
      <c r="K26" s="915"/>
      <c r="L26" s="915"/>
      <c r="M26" s="915"/>
      <c r="N26" s="915"/>
      <c r="O26" s="923">
        <f t="shared" si="14"/>
        <v>20000</v>
      </c>
      <c r="P26" s="926"/>
      <c r="Q26" s="917"/>
      <c r="R26" s="917"/>
      <c r="S26" s="1204">
        <f t="shared" si="15"/>
        <v>0</v>
      </c>
      <c r="T26" s="917"/>
      <c r="U26" s="1204">
        <f t="shared" si="16"/>
        <v>20000</v>
      </c>
      <c r="V26" s="917"/>
      <c r="W26" s="1204">
        <f t="shared" si="17"/>
        <v>20000</v>
      </c>
      <c r="X26" s="915"/>
      <c r="Y26" s="915"/>
      <c r="Z26" s="915"/>
      <c r="AA26" s="916"/>
      <c r="AB26" s="293" t="s">
        <v>241</v>
      </c>
      <c r="AD26" s="441"/>
      <c r="AE26" s="672" t="str">
        <f t="shared" si="1"/>
        <v>OK</v>
      </c>
      <c r="AF26" s="672" t="str">
        <f t="shared" si="2"/>
        <v>OK</v>
      </c>
      <c r="AG26" s="672" t="str">
        <f t="shared" si="3"/>
        <v>OK</v>
      </c>
      <c r="AH26" s="672" t="str">
        <f t="shared" si="4"/>
        <v>OK</v>
      </c>
      <c r="AI26" s="672" t="str">
        <f t="shared" si="5"/>
        <v>OK</v>
      </c>
      <c r="AJ26" s="672" t="str">
        <f t="shared" si="6"/>
        <v>OK</v>
      </c>
      <c r="AK26" s="672" t="str">
        <f t="shared" si="7"/>
        <v>OK</v>
      </c>
      <c r="AL26" s="332" t="b">
        <f t="shared" ref="AL26" si="18">AA27&gt;=W27*0.7</f>
        <v>1</v>
      </c>
    </row>
    <row r="27" spans="1:43" ht="20.85" customHeight="1" thickTop="1" thickBot="1" x14ac:dyDescent="0.25">
      <c r="A27" s="1010">
        <v>14</v>
      </c>
      <c r="B27" s="617" t="s">
        <v>1733</v>
      </c>
      <c r="C27" s="293" t="s">
        <v>241</v>
      </c>
      <c r="D27" s="916">
        <v>0</v>
      </c>
      <c r="E27" s="916"/>
      <c r="F27" s="923">
        <f t="shared" si="13"/>
        <v>0</v>
      </c>
      <c r="G27" s="915"/>
      <c r="H27" s="915">
        <v>0</v>
      </c>
      <c r="I27" s="915"/>
      <c r="J27" s="915"/>
      <c r="K27" s="915"/>
      <c r="L27" s="915"/>
      <c r="M27" s="915"/>
      <c r="N27" s="915"/>
      <c r="O27" s="923">
        <f t="shared" si="14"/>
        <v>0</v>
      </c>
      <c r="P27" s="926"/>
      <c r="Q27" s="917"/>
      <c r="R27" s="917"/>
      <c r="S27" s="1204">
        <f t="shared" si="15"/>
        <v>0</v>
      </c>
      <c r="T27" s="917"/>
      <c r="U27" s="1204">
        <f t="shared" si="16"/>
        <v>0</v>
      </c>
      <c r="V27" s="917"/>
      <c r="W27" s="1204">
        <f t="shared" si="17"/>
        <v>0</v>
      </c>
      <c r="X27" s="915"/>
      <c r="Y27" s="915"/>
      <c r="Z27" s="915"/>
      <c r="AA27" s="916"/>
      <c r="AB27" s="293" t="s">
        <v>241</v>
      </c>
      <c r="AD27" s="441"/>
      <c r="AE27" s="672" t="str">
        <f t="shared" si="1"/>
        <v>OK</v>
      </c>
      <c r="AF27" s="672" t="str">
        <f t="shared" si="2"/>
        <v>OK</v>
      </c>
      <c r="AG27" s="672" t="str">
        <f t="shared" si="3"/>
        <v>OK</v>
      </c>
      <c r="AH27" s="672" t="str">
        <f t="shared" si="4"/>
        <v>OK</v>
      </c>
      <c r="AI27" s="672" t="str">
        <f t="shared" si="5"/>
        <v>OK</v>
      </c>
      <c r="AJ27" s="672" t="str">
        <f t="shared" si="6"/>
        <v>OK</v>
      </c>
      <c r="AK27" s="672" t="str">
        <f t="shared" si="7"/>
        <v>OK</v>
      </c>
      <c r="AL27" s="332" t="b">
        <f>AA28&gt;=W28</f>
        <v>0</v>
      </c>
    </row>
    <row r="28" spans="1:43" ht="25.35" customHeight="1" thickTop="1" thickBot="1" x14ac:dyDescent="0.25">
      <c r="A28" s="1010">
        <v>15</v>
      </c>
      <c r="B28" s="617" t="s">
        <v>1734</v>
      </c>
      <c r="C28" s="293" t="s">
        <v>241</v>
      </c>
      <c r="D28" s="916">
        <v>50000</v>
      </c>
      <c r="E28" s="916"/>
      <c r="F28" s="923">
        <f t="shared" si="13"/>
        <v>50000</v>
      </c>
      <c r="G28" s="915"/>
      <c r="H28" s="915">
        <v>0</v>
      </c>
      <c r="I28" s="915"/>
      <c r="J28" s="915"/>
      <c r="K28" s="915"/>
      <c r="L28" s="915"/>
      <c r="M28" s="915"/>
      <c r="N28" s="915"/>
      <c r="O28" s="923">
        <f t="shared" si="14"/>
        <v>50000</v>
      </c>
      <c r="P28" s="926"/>
      <c r="Q28" s="917"/>
      <c r="R28" s="917"/>
      <c r="S28" s="1204">
        <f t="shared" si="15"/>
        <v>0</v>
      </c>
      <c r="T28" s="917"/>
      <c r="U28" s="1204">
        <f t="shared" si="16"/>
        <v>50000</v>
      </c>
      <c r="V28" s="917"/>
      <c r="W28" s="1204">
        <f t="shared" si="17"/>
        <v>50000</v>
      </c>
      <c r="X28" s="915"/>
      <c r="Y28" s="915"/>
      <c r="Z28" s="915"/>
      <c r="AA28" s="916"/>
      <c r="AB28" s="293" t="s">
        <v>241</v>
      </c>
      <c r="AD28" s="441"/>
      <c r="AE28" s="672" t="str">
        <f t="shared" si="1"/>
        <v>OK</v>
      </c>
      <c r="AF28" s="672" t="str">
        <f t="shared" si="2"/>
        <v>OK</v>
      </c>
      <c r="AG28" s="672" t="str">
        <f t="shared" si="3"/>
        <v>OK</v>
      </c>
      <c r="AH28" s="672" t="str">
        <f t="shared" si="4"/>
        <v>OK</v>
      </c>
      <c r="AI28" s="672" t="str">
        <f t="shared" si="5"/>
        <v>OK</v>
      </c>
      <c r="AJ28" s="672" t="str">
        <f t="shared" si="6"/>
        <v>OK</v>
      </c>
      <c r="AK28" s="672" t="str">
        <f t="shared" si="7"/>
        <v>OK</v>
      </c>
      <c r="AL28" s="332" t="b">
        <f>AA29&gt;=W29</f>
        <v>1</v>
      </c>
    </row>
    <row r="29" spans="1:43" ht="25.35" customHeight="1" thickTop="1" thickBot="1" x14ac:dyDescent="0.25">
      <c r="B29" s="617" t="s">
        <v>1462</v>
      </c>
      <c r="C29" s="293" t="s">
        <v>241</v>
      </c>
      <c r="D29" s="916"/>
      <c r="E29" s="916"/>
      <c r="F29" s="914"/>
      <c r="G29" s="915"/>
      <c r="H29" s="915"/>
      <c r="I29" s="915"/>
      <c r="J29" s="915"/>
      <c r="K29" s="915"/>
      <c r="L29" s="915"/>
      <c r="M29" s="915"/>
      <c r="N29" s="915"/>
      <c r="O29" s="917"/>
      <c r="P29" s="926"/>
      <c r="Q29" s="917"/>
      <c r="R29" s="917"/>
      <c r="S29" s="917"/>
      <c r="T29" s="917"/>
      <c r="U29" s="916"/>
      <c r="V29" s="917"/>
      <c r="W29" s="917"/>
      <c r="X29" s="915"/>
      <c r="Y29" s="915"/>
      <c r="Z29" s="915"/>
      <c r="AA29" s="916"/>
      <c r="AB29" s="293" t="s">
        <v>241</v>
      </c>
      <c r="AC29" s="615"/>
      <c r="AD29" s="615"/>
      <c r="AE29" s="615"/>
      <c r="AF29" s="615"/>
      <c r="AG29" s="615"/>
      <c r="AH29" s="615"/>
      <c r="AI29" s="615"/>
      <c r="AJ29" s="615"/>
      <c r="AK29" s="615"/>
      <c r="AL29" s="616"/>
    </row>
    <row r="30" spans="1:43" ht="25.35" customHeight="1" thickTop="1" thickBot="1" x14ac:dyDescent="0.25">
      <c r="A30" s="1010">
        <v>16</v>
      </c>
      <c r="B30" s="617" t="s">
        <v>1722</v>
      </c>
      <c r="C30" s="293" t="s">
        <v>241</v>
      </c>
      <c r="D30" s="916">
        <v>0</v>
      </c>
      <c r="E30" s="916"/>
      <c r="F30" s="922">
        <f t="shared" si="13"/>
        <v>0</v>
      </c>
      <c r="G30" s="915"/>
      <c r="H30" s="915">
        <v>0</v>
      </c>
      <c r="I30" s="915"/>
      <c r="J30" s="915"/>
      <c r="K30" s="915"/>
      <c r="L30" s="915"/>
      <c r="M30" s="915"/>
      <c r="N30" s="915"/>
      <c r="O30" s="923">
        <f t="shared" si="14"/>
        <v>0</v>
      </c>
      <c r="P30" s="926"/>
      <c r="Q30" s="917"/>
      <c r="R30" s="917"/>
      <c r="S30" s="1204">
        <f t="shared" si="15"/>
        <v>0</v>
      </c>
      <c r="T30" s="917"/>
      <c r="U30" s="1204">
        <f t="shared" si="16"/>
        <v>0</v>
      </c>
      <c r="V30" s="917"/>
      <c r="W30" s="1204">
        <f t="shared" si="17"/>
        <v>0</v>
      </c>
      <c r="X30" s="915"/>
      <c r="Y30" s="915"/>
      <c r="Z30" s="915"/>
      <c r="AA30" s="916"/>
      <c r="AB30" s="293" t="s">
        <v>241</v>
      </c>
      <c r="AC30" s="615"/>
      <c r="AE30" s="672" t="str">
        <f t="shared" ref="AE30:AE37" si="19">IF(D30&gt;=0,"OK","ERROR")</f>
        <v>OK</v>
      </c>
      <c r="AF30" s="672" t="str">
        <f t="shared" ref="AF30:AF37" si="20">IF(E30&lt;=0,"OK","ERROR")</f>
        <v>OK</v>
      </c>
      <c r="AG30" s="672" t="str">
        <f t="shared" ref="AG30:AG37" si="21">IF(MIN(F30:O30)&gt;=0,"OK","ERROR")</f>
        <v>OK</v>
      </c>
      <c r="AH30" s="672" t="str">
        <f t="shared" ref="AH30:AH37" si="22">IF(MAX(P30:S30)&lt;=0,"OK","ERROR")</f>
        <v>OK</v>
      </c>
      <c r="AI30" s="672" t="str">
        <f t="shared" ref="AI30:AI37" si="23">IF(MIN(T30:U30)&gt;=0,"OK","ERROR")</f>
        <v>OK</v>
      </c>
      <c r="AJ30" s="672" t="str">
        <f t="shared" ref="AJ30:AJ37" si="24">IF(V30&lt;=0,"OK","ERROR")</f>
        <v>OK</v>
      </c>
      <c r="AK30" s="672" t="str">
        <f t="shared" ref="AK30:AK37" si="25">IF(MIN(W30:AA30)&gt;=0,"OK","ERROR")</f>
        <v>OK</v>
      </c>
      <c r="AL30" s="332" t="b">
        <f>AA31&gt;=W31*1.15</f>
        <v>0</v>
      </c>
    </row>
    <row r="31" spans="1:43" ht="24.6" customHeight="1" thickTop="1" thickBot="1" x14ac:dyDescent="0.25">
      <c r="A31" s="1010">
        <v>17</v>
      </c>
      <c r="B31" s="617" t="s">
        <v>1723</v>
      </c>
      <c r="C31" s="293" t="s">
        <v>241</v>
      </c>
      <c r="D31" s="916">
        <v>140000</v>
      </c>
      <c r="E31" s="916"/>
      <c r="F31" s="923">
        <f t="shared" si="13"/>
        <v>140000</v>
      </c>
      <c r="G31" s="915"/>
      <c r="H31" s="915">
        <v>40000</v>
      </c>
      <c r="I31" s="915"/>
      <c r="J31" s="915"/>
      <c r="K31" s="915"/>
      <c r="L31" s="915"/>
      <c r="M31" s="915"/>
      <c r="N31" s="915"/>
      <c r="O31" s="923">
        <f t="shared" si="14"/>
        <v>100000</v>
      </c>
      <c r="P31" s="926"/>
      <c r="Q31" s="917"/>
      <c r="R31" s="917"/>
      <c r="S31" s="1204">
        <f t="shared" si="15"/>
        <v>0</v>
      </c>
      <c r="T31" s="917"/>
      <c r="U31" s="1204">
        <f t="shared" si="16"/>
        <v>100000</v>
      </c>
      <c r="V31" s="917"/>
      <c r="W31" s="1204">
        <f t="shared" si="17"/>
        <v>100000</v>
      </c>
      <c r="X31" s="915"/>
      <c r="Y31" s="915"/>
      <c r="Z31" s="915"/>
      <c r="AA31" s="916"/>
      <c r="AB31" s="293" t="s">
        <v>241</v>
      </c>
      <c r="AC31" s="615"/>
      <c r="AE31" s="672" t="str">
        <f t="shared" si="19"/>
        <v>OK</v>
      </c>
      <c r="AF31" s="672" t="str">
        <f t="shared" si="20"/>
        <v>OK</v>
      </c>
      <c r="AG31" s="672" t="str">
        <f t="shared" si="21"/>
        <v>OK</v>
      </c>
      <c r="AH31" s="672" t="str">
        <f t="shared" si="22"/>
        <v>OK</v>
      </c>
      <c r="AI31" s="672" t="str">
        <f t="shared" si="23"/>
        <v>OK</v>
      </c>
      <c r="AJ31" s="672" t="str">
        <f t="shared" si="24"/>
        <v>OK</v>
      </c>
      <c r="AK31" s="672" t="str">
        <f t="shared" si="25"/>
        <v>OK</v>
      </c>
      <c r="AL31" s="332" t="b">
        <f t="shared" ref="AL31:AL32" si="26">AA32&gt;=W32*1.15</f>
        <v>1</v>
      </c>
    </row>
    <row r="32" spans="1:43" ht="24.6" customHeight="1" thickTop="1" thickBot="1" x14ac:dyDescent="0.25">
      <c r="A32" s="1010">
        <v>18</v>
      </c>
      <c r="B32" s="619" t="s">
        <v>1724</v>
      </c>
      <c r="C32" s="293" t="s">
        <v>241</v>
      </c>
      <c r="D32" s="916">
        <v>0</v>
      </c>
      <c r="E32" s="916"/>
      <c r="F32" s="923">
        <f t="shared" si="13"/>
        <v>0</v>
      </c>
      <c r="G32" s="915"/>
      <c r="H32" s="915"/>
      <c r="I32" s="915"/>
      <c r="J32" s="915"/>
      <c r="K32" s="915"/>
      <c r="L32" s="915"/>
      <c r="M32" s="915"/>
      <c r="N32" s="915"/>
      <c r="O32" s="923">
        <f t="shared" si="14"/>
        <v>0</v>
      </c>
      <c r="P32" s="926"/>
      <c r="Q32" s="917"/>
      <c r="R32" s="917"/>
      <c r="S32" s="1204">
        <f t="shared" si="15"/>
        <v>0</v>
      </c>
      <c r="T32" s="917"/>
      <c r="U32" s="1204">
        <f t="shared" si="16"/>
        <v>0</v>
      </c>
      <c r="V32" s="917"/>
      <c r="W32" s="1204">
        <f t="shared" si="17"/>
        <v>0</v>
      </c>
      <c r="X32" s="915"/>
      <c r="Y32" s="915"/>
      <c r="Z32" s="915"/>
      <c r="AA32" s="916"/>
      <c r="AB32" s="293" t="s">
        <v>241</v>
      </c>
      <c r="AC32" s="615"/>
      <c r="AE32" s="672" t="str">
        <f t="shared" si="19"/>
        <v>OK</v>
      </c>
      <c r="AF32" s="672" t="str">
        <f t="shared" si="20"/>
        <v>OK</v>
      </c>
      <c r="AG32" s="672" t="str">
        <f t="shared" si="21"/>
        <v>OK</v>
      </c>
      <c r="AH32" s="672" t="str">
        <f t="shared" si="22"/>
        <v>OK</v>
      </c>
      <c r="AI32" s="672" t="str">
        <f t="shared" si="23"/>
        <v>OK</v>
      </c>
      <c r="AJ32" s="672" t="str">
        <f t="shared" si="24"/>
        <v>OK</v>
      </c>
      <c r="AK32" s="672" t="str">
        <f t="shared" si="25"/>
        <v>OK</v>
      </c>
      <c r="AL32" s="332" t="b">
        <f t="shared" si="26"/>
        <v>1</v>
      </c>
    </row>
    <row r="33" spans="1:38" ht="63.75" customHeight="1" thickTop="1" thickBot="1" x14ac:dyDescent="0.25">
      <c r="A33" s="1010">
        <v>19</v>
      </c>
      <c r="B33" s="696" t="s">
        <v>1409</v>
      </c>
      <c r="C33" s="293" t="s">
        <v>241</v>
      </c>
      <c r="D33" s="916"/>
      <c r="E33" s="916"/>
      <c r="F33" s="923">
        <f t="shared" si="13"/>
        <v>0</v>
      </c>
      <c r="G33" s="915"/>
      <c r="H33" s="915"/>
      <c r="I33" s="915"/>
      <c r="J33" s="915"/>
      <c r="K33" s="915"/>
      <c r="L33" s="915"/>
      <c r="M33" s="915"/>
      <c r="N33" s="915"/>
      <c r="O33" s="923">
        <f t="shared" si="14"/>
        <v>0</v>
      </c>
      <c r="P33" s="926"/>
      <c r="Q33" s="917"/>
      <c r="R33" s="917"/>
      <c r="S33" s="1204">
        <f t="shared" si="15"/>
        <v>0</v>
      </c>
      <c r="T33" s="917"/>
      <c r="U33" s="1204">
        <f t="shared" si="16"/>
        <v>0</v>
      </c>
      <c r="V33" s="917"/>
      <c r="W33" s="1204">
        <f t="shared" si="17"/>
        <v>0</v>
      </c>
      <c r="X33" s="915"/>
      <c r="Y33" s="915"/>
      <c r="Z33" s="915"/>
      <c r="AA33" s="916"/>
      <c r="AB33" s="293" t="s">
        <v>241</v>
      </c>
      <c r="AC33" s="615"/>
      <c r="AE33" s="672" t="str">
        <f t="shared" si="19"/>
        <v>OK</v>
      </c>
      <c r="AF33" s="672" t="str">
        <f t="shared" si="20"/>
        <v>OK</v>
      </c>
      <c r="AG33" s="672" t="str">
        <f t="shared" si="21"/>
        <v>OK</v>
      </c>
      <c r="AH33" s="672" t="str">
        <f t="shared" si="22"/>
        <v>OK</v>
      </c>
      <c r="AI33" s="672" t="str">
        <f t="shared" si="23"/>
        <v>OK</v>
      </c>
      <c r="AJ33" s="672" t="str">
        <f t="shared" si="24"/>
        <v>OK</v>
      </c>
      <c r="AK33" s="672" t="str">
        <f t="shared" si="25"/>
        <v>OK</v>
      </c>
      <c r="AL33" s="332" t="b">
        <f>AA34=W34*1.5</f>
        <v>1</v>
      </c>
    </row>
    <row r="34" spans="1:38" ht="45.75" customHeight="1" thickTop="1" thickBot="1" x14ac:dyDescent="0.25">
      <c r="A34" s="1010">
        <v>20</v>
      </c>
      <c r="B34" s="697" t="s">
        <v>1410</v>
      </c>
      <c r="C34" s="293" t="s">
        <v>241</v>
      </c>
      <c r="D34" s="916"/>
      <c r="E34" s="916"/>
      <c r="F34" s="923">
        <f t="shared" si="13"/>
        <v>0</v>
      </c>
      <c r="G34" s="915"/>
      <c r="H34" s="915"/>
      <c r="I34" s="915"/>
      <c r="J34" s="915"/>
      <c r="K34" s="915"/>
      <c r="L34" s="915"/>
      <c r="M34" s="915"/>
      <c r="N34" s="915"/>
      <c r="O34" s="923">
        <f t="shared" si="14"/>
        <v>0</v>
      </c>
      <c r="P34" s="926"/>
      <c r="Q34" s="917"/>
      <c r="R34" s="917"/>
      <c r="S34" s="1204">
        <f t="shared" si="15"/>
        <v>0</v>
      </c>
      <c r="T34" s="917"/>
      <c r="U34" s="1204">
        <f t="shared" si="16"/>
        <v>0</v>
      </c>
      <c r="V34" s="917"/>
      <c r="W34" s="1204">
        <f t="shared" si="17"/>
        <v>0</v>
      </c>
      <c r="X34" s="915"/>
      <c r="Y34" s="915"/>
      <c r="Z34" s="915"/>
      <c r="AA34" s="916"/>
      <c r="AB34" s="293" t="s">
        <v>241</v>
      </c>
      <c r="AC34" s="615"/>
      <c r="AE34" s="672" t="str">
        <f t="shared" si="19"/>
        <v>OK</v>
      </c>
      <c r="AF34" s="672" t="str">
        <f t="shared" si="20"/>
        <v>OK</v>
      </c>
      <c r="AG34" s="672" t="str">
        <f t="shared" si="21"/>
        <v>OK</v>
      </c>
      <c r="AH34" s="672" t="str">
        <f t="shared" si="22"/>
        <v>OK</v>
      </c>
      <c r="AI34" s="672" t="str">
        <f t="shared" si="23"/>
        <v>OK</v>
      </c>
      <c r="AJ34" s="672" t="str">
        <f t="shared" si="24"/>
        <v>OK</v>
      </c>
      <c r="AK34" s="672" t="str">
        <f t="shared" si="25"/>
        <v>OK</v>
      </c>
      <c r="AL34" s="332" t="b">
        <f>AA35=W35*1.5</f>
        <v>1</v>
      </c>
    </row>
    <row r="35" spans="1:38" ht="47.85" customHeight="1" thickTop="1" thickBot="1" x14ac:dyDescent="0.25">
      <c r="A35" s="1010">
        <v>21</v>
      </c>
      <c r="B35" s="681" t="s">
        <v>1436</v>
      </c>
      <c r="C35" s="293"/>
      <c r="D35" s="921">
        <f>D36+D37</f>
        <v>0</v>
      </c>
      <c r="E35" s="921">
        <f t="shared" ref="E35:AA35" si="27">E36+E37</f>
        <v>0</v>
      </c>
      <c r="F35" s="921">
        <f t="shared" si="27"/>
        <v>0</v>
      </c>
      <c r="G35" s="921">
        <f t="shared" si="27"/>
        <v>0</v>
      </c>
      <c r="H35" s="921">
        <f t="shared" si="27"/>
        <v>0</v>
      </c>
      <c r="I35" s="921">
        <f t="shared" si="27"/>
        <v>0</v>
      </c>
      <c r="J35" s="921">
        <f t="shared" si="27"/>
        <v>0</v>
      </c>
      <c r="K35" s="921">
        <f t="shared" si="27"/>
        <v>0</v>
      </c>
      <c r="L35" s="921">
        <f t="shared" si="27"/>
        <v>0</v>
      </c>
      <c r="M35" s="921">
        <f t="shared" si="27"/>
        <v>0</v>
      </c>
      <c r="N35" s="921">
        <f t="shared" si="27"/>
        <v>0</v>
      </c>
      <c r="O35" s="921">
        <f t="shared" si="27"/>
        <v>0</v>
      </c>
      <c r="P35" s="921">
        <f t="shared" si="27"/>
        <v>0</v>
      </c>
      <c r="Q35" s="921">
        <f t="shared" si="27"/>
        <v>0</v>
      </c>
      <c r="R35" s="921">
        <f t="shared" si="27"/>
        <v>0</v>
      </c>
      <c r="S35" s="921">
        <f t="shared" si="27"/>
        <v>0</v>
      </c>
      <c r="T35" s="921">
        <f t="shared" si="27"/>
        <v>0</v>
      </c>
      <c r="U35" s="921">
        <f t="shared" si="27"/>
        <v>0</v>
      </c>
      <c r="V35" s="921">
        <f t="shared" si="27"/>
        <v>0</v>
      </c>
      <c r="W35" s="921">
        <f t="shared" si="27"/>
        <v>0</v>
      </c>
      <c r="X35" s="921">
        <f t="shared" si="27"/>
        <v>0</v>
      </c>
      <c r="Y35" s="921">
        <f t="shared" si="27"/>
        <v>0</v>
      </c>
      <c r="Z35" s="921">
        <f t="shared" si="27"/>
        <v>0</v>
      </c>
      <c r="AA35" s="921">
        <f t="shared" si="27"/>
        <v>0</v>
      </c>
      <c r="AB35" s="293"/>
      <c r="AC35" s="615"/>
      <c r="AE35" s="672" t="str">
        <f t="shared" si="19"/>
        <v>OK</v>
      </c>
      <c r="AF35" s="672" t="str">
        <f t="shared" si="20"/>
        <v>OK</v>
      </c>
      <c r="AG35" s="672" t="str">
        <f t="shared" si="21"/>
        <v>OK</v>
      </c>
      <c r="AH35" s="672" t="str">
        <f t="shared" si="22"/>
        <v>OK</v>
      </c>
      <c r="AI35" s="672" t="str">
        <f t="shared" si="23"/>
        <v>OK</v>
      </c>
      <c r="AJ35" s="672" t="str">
        <f t="shared" si="24"/>
        <v>OK</v>
      </c>
      <c r="AK35" s="672" t="str">
        <f t="shared" si="25"/>
        <v>OK</v>
      </c>
      <c r="AL35" s="616"/>
    </row>
    <row r="36" spans="1:38" ht="24.6" customHeight="1" thickTop="1" thickBot="1" x14ac:dyDescent="0.25">
      <c r="A36" s="1010">
        <v>22</v>
      </c>
      <c r="B36" s="619">
        <v>1</v>
      </c>
      <c r="C36" s="293" t="s">
        <v>241</v>
      </c>
      <c r="D36" s="245"/>
      <c r="E36" s="245"/>
      <c r="F36" s="915"/>
      <c r="G36" s="915"/>
      <c r="H36" s="915"/>
      <c r="I36" s="915"/>
      <c r="J36" s="915"/>
      <c r="K36" s="915"/>
      <c r="L36" s="915"/>
      <c r="M36" s="915"/>
      <c r="N36" s="915"/>
      <c r="O36" s="915"/>
      <c r="P36" s="1472"/>
      <c r="Q36" s="1195"/>
      <c r="R36" s="1195"/>
      <c r="S36" s="1195"/>
      <c r="T36" s="1195"/>
      <c r="U36" s="318"/>
      <c r="V36" s="1195"/>
      <c r="W36" s="318"/>
      <c r="X36" s="915"/>
      <c r="Y36" s="915"/>
      <c r="Z36" s="915"/>
      <c r="AA36" s="915"/>
      <c r="AB36" s="293" t="s">
        <v>241</v>
      </c>
      <c r="AC36" s="615"/>
      <c r="AE36" s="672" t="str">
        <f t="shared" si="19"/>
        <v>OK</v>
      </c>
      <c r="AF36" s="672" t="str">
        <f t="shared" si="20"/>
        <v>OK</v>
      </c>
      <c r="AG36" s="672" t="str">
        <f t="shared" si="21"/>
        <v>OK</v>
      </c>
      <c r="AH36" s="672" t="str">
        <f t="shared" si="22"/>
        <v>OK</v>
      </c>
      <c r="AI36" s="672" t="str">
        <f t="shared" si="23"/>
        <v>OK</v>
      </c>
      <c r="AJ36" s="672" t="str">
        <f t="shared" si="24"/>
        <v>OK</v>
      </c>
      <c r="AK36" s="672" t="str">
        <f t="shared" si="25"/>
        <v>OK</v>
      </c>
      <c r="AL36" s="332" t="b">
        <f>AA37=W37*1</f>
        <v>1</v>
      </c>
    </row>
    <row r="37" spans="1:38" ht="25.35" customHeight="1" thickTop="1" thickBot="1" x14ac:dyDescent="0.25">
      <c r="A37" s="1010">
        <v>23</v>
      </c>
      <c r="B37" s="619">
        <v>1.5</v>
      </c>
      <c r="C37" s="293" t="s">
        <v>241</v>
      </c>
      <c r="D37" s="916"/>
      <c r="E37" s="916"/>
      <c r="F37" s="922">
        <f t="shared" si="13"/>
        <v>0</v>
      </c>
      <c r="G37" s="915"/>
      <c r="H37" s="915"/>
      <c r="I37" s="915"/>
      <c r="J37" s="915"/>
      <c r="K37" s="915"/>
      <c r="L37" s="915"/>
      <c r="M37" s="915"/>
      <c r="N37" s="915"/>
      <c r="O37" s="923">
        <f t="shared" ref="O37" si="28">F37-H37-0.9*I37-0.8*J37-0.6*K37-0.5*L37</f>
        <v>0</v>
      </c>
      <c r="P37" s="926"/>
      <c r="Q37" s="917"/>
      <c r="R37" s="917"/>
      <c r="S37" s="1204">
        <f t="shared" ref="S37" si="29">P37+Q37+R37</f>
        <v>0</v>
      </c>
      <c r="T37" s="917"/>
      <c r="U37" s="1204">
        <f t="shared" ref="U37" si="30">O37+S37+T37</f>
        <v>0</v>
      </c>
      <c r="V37" s="917"/>
      <c r="W37" s="1204">
        <f t="shared" ref="W37" si="31">U37+V37</f>
        <v>0</v>
      </c>
      <c r="X37" s="915"/>
      <c r="Y37" s="915"/>
      <c r="Z37" s="915"/>
      <c r="AA37" s="916"/>
      <c r="AB37" s="293" t="s">
        <v>241</v>
      </c>
      <c r="AC37" s="615"/>
      <c r="AE37" s="672" t="str">
        <f t="shared" si="19"/>
        <v>OK</v>
      </c>
      <c r="AF37" s="672" t="str">
        <f t="shared" si="20"/>
        <v>OK</v>
      </c>
      <c r="AG37" s="672" t="str">
        <f t="shared" si="21"/>
        <v>OK</v>
      </c>
      <c r="AH37" s="672" t="str">
        <f t="shared" si="22"/>
        <v>OK</v>
      </c>
      <c r="AI37" s="672" t="str">
        <f t="shared" si="23"/>
        <v>OK</v>
      </c>
      <c r="AJ37" s="672" t="str">
        <f t="shared" si="24"/>
        <v>OK</v>
      </c>
      <c r="AK37" s="672" t="str">
        <f t="shared" si="25"/>
        <v>OK</v>
      </c>
      <c r="AL37" s="332" t="b">
        <f>AA38=W38*1.5</f>
        <v>1</v>
      </c>
    </row>
    <row r="38" spans="1:38" ht="7.5" customHeight="1" thickTop="1" x14ac:dyDescent="0.2">
      <c r="B38" s="682"/>
      <c r="C38" s="648"/>
      <c r="D38" s="625"/>
      <c r="E38" s="625"/>
      <c r="F38" s="625"/>
      <c r="G38" s="625"/>
      <c r="H38" s="625"/>
      <c r="I38" s="625"/>
      <c r="J38" s="625"/>
      <c r="K38" s="625"/>
      <c r="L38" s="625"/>
      <c r="M38" s="625"/>
      <c r="N38" s="625"/>
      <c r="O38" s="625"/>
      <c r="P38" s="625"/>
      <c r="Q38" s="625"/>
      <c r="R38" s="625"/>
      <c r="S38" s="625"/>
      <c r="T38" s="625"/>
      <c r="U38" s="625"/>
      <c r="V38" s="625"/>
      <c r="W38" s="625"/>
      <c r="X38" s="625"/>
      <c r="Y38" s="625"/>
      <c r="Z38" s="625"/>
      <c r="AA38" s="625"/>
      <c r="AB38" s="293"/>
      <c r="AC38" s="615"/>
      <c r="AL38" s="616"/>
    </row>
    <row r="39" spans="1:38" ht="18.75" customHeight="1" x14ac:dyDescent="0.2">
      <c r="B39" s="683" t="str">
        <f>"Version: "&amp;D46</f>
        <v>Version: 2.01.E0</v>
      </c>
      <c r="C39" s="442"/>
      <c r="D39" s="442"/>
      <c r="E39" s="442"/>
      <c r="F39" s="442"/>
      <c r="G39" s="442"/>
      <c r="H39" s="442"/>
      <c r="I39" s="442"/>
      <c r="J39" s="442"/>
      <c r="K39" s="442"/>
      <c r="L39" s="442"/>
      <c r="M39" s="442"/>
      <c r="N39" s="442"/>
      <c r="O39" s="442"/>
      <c r="P39" s="442"/>
      <c r="Q39" s="442"/>
      <c r="R39" s="442"/>
      <c r="S39" s="442"/>
      <c r="T39" s="442"/>
      <c r="U39" s="442"/>
      <c r="V39" s="442"/>
      <c r="W39" s="442"/>
      <c r="X39" s="442"/>
      <c r="Y39" s="442"/>
      <c r="Z39" s="442"/>
      <c r="AA39" s="442"/>
      <c r="AB39" s="685" t="s">
        <v>24</v>
      </c>
      <c r="AC39" s="615"/>
      <c r="AL39" s="616"/>
    </row>
    <row r="40" spans="1:38" ht="18.75" customHeight="1" x14ac:dyDescent="0.2">
      <c r="B40" s="442"/>
      <c r="C40" s="442"/>
      <c r="D40" s="442"/>
      <c r="E40" s="442"/>
      <c r="F40" s="442"/>
      <c r="G40" s="442"/>
      <c r="H40" s="442"/>
      <c r="I40" s="442"/>
      <c r="J40" s="442"/>
      <c r="K40" s="442"/>
      <c r="L40" s="442"/>
      <c r="M40" s="442"/>
      <c r="N40" s="442"/>
      <c r="O40" s="442"/>
      <c r="P40" s="442"/>
      <c r="Q40" s="442"/>
      <c r="R40" s="442"/>
      <c r="S40" s="442"/>
      <c r="T40" s="442"/>
      <c r="U40" s="442"/>
      <c r="V40" s="442"/>
      <c r="W40" s="442"/>
      <c r="X40" s="442"/>
      <c r="Y40" s="442"/>
      <c r="Z40" s="442"/>
      <c r="AA40" s="442"/>
      <c r="AB40" s="442"/>
      <c r="AC40" s="615"/>
      <c r="AL40" s="616"/>
    </row>
    <row r="41" spans="1:38" ht="18.75" customHeight="1" x14ac:dyDescent="0.2">
      <c r="U41" s="684"/>
      <c r="W41" s="684"/>
      <c r="X41" s="684"/>
      <c r="Y41" s="684"/>
      <c r="Z41" s="684"/>
      <c r="AA41" s="684"/>
      <c r="AL41" s="616"/>
    </row>
    <row r="42" spans="1:38" ht="18.75" customHeight="1" x14ac:dyDescent="0.2">
      <c r="U42" s="684"/>
      <c r="W42" s="684"/>
      <c r="X42" s="684"/>
      <c r="Y42" s="684"/>
      <c r="Z42" s="684"/>
      <c r="AA42" s="684"/>
      <c r="AL42" s="616"/>
    </row>
    <row r="43" spans="1:38" ht="18.75" customHeight="1" x14ac:dyDescent="0.2">
      <c r="B43" s="608"/>
      <c r="C43" s="685" t="s">
        <v>24</v>
      </c>
      <c r="D43" s="686" t="str">
        <f>AA2</f>
        <v>XXXXXX</v>
      </c>
      <c r="AL43" s="616"/>
    </row>
    <row r="44" spans="1:38" ht="18.75" customHeight="1" x14ac:dyDescent="0.2">
      <c r="B44" s="623"/>
      <c r="D44" s="687" t="str">
        <f>AA1</f>
        <v>P_CRSABIS_13</v>
      </c>
      <c r="AL44" s="616"/>
    </row>
    <row r="45" spans="1:38" ht="18.75" customHeight="1" x14ac:dyDescent="0.2">
      <c r="B45" s="623"/>
      <c r="D45" s="688" t="str">
        <f>AA3</f>
        <v>DD.MM.YYYY</v>
      </c>
      <c r="AL45" s="616"/>
    </row>
    <row r="46" spans="1:38" ht="18.75" customHeight="1" x14ac:dyDescent="0.2">
      <c r="B46" s="689"/>
      <c r="D46" s="690" t="s">
        <v>23</v>
      </c>
      <c r="AL46" s="616"/>
    </row>
    <row r="47" spans="1:38" ht="18.75" customHeight="1" x14ac:dyDescent="0.2">
      <c r="B47" s="623"/>
      <c r="D47" s="687" t="str">
        <f>D13</f>
        <v>col. 01</v>
      </c>
      <c r="AL47" s="616"/>
    </row>
    <row r="48" spans="1:38" ht="18.75" customHeight="1" x14ac:dyDescent="0.2">
      <c r="B48" s="691"/>
      <c r="C48" s="648"/>
      <c r="D48" s="589">
        <f>COUNTIF(D52:AA54,"ERROR")+COUNTIF(AE14:AL38,"ERROR")</f>
        <v>6</v>
      </c>
      <c r="AL48" s="616"/>
    </row>
    <row r="49" spans="2:38" ht="20.85" customHeight="1" x14ac:dyDescent="0.2">
      <c r="B49" s="441"/>
      <c r="C49" s="692"/>
      <c r="D49" s="590"/>
      <c r="AL49" s="616"/>
    </row>
    <row r="50" spans="2:38" x14ac:dyDescent="0.2">
      <c r="B50" s="441"/>
      <c r="C50" s="692"/>
      <c r="D50" s="591"/>
      <c r="AB50" s="692"/>
      <c r="AL50" s="616"/>
    </row>
    <row r="51" spans="2:38" x14ac:dyDescent="0.2">
      <c r="D51" s="575" t="s">
        <v>22</v>
      </c>
      <c r="E51" s="575" t="s">
        <v>21</v>
      </c>
      <c r="F51" s="575" t="s">
        <v>20</v>
      </c>
      <c r="G51" s="575" t="s">
        <v>19</v>
      </c>
      <c r="H51" s="575" t="s">
        <v>18</v>
      </c>
      <c r="I51" s="575" t="s">
        <v>17</v>
      </c>
      <c r="J51" s="575" t="s">
        <v>16</v>
      </c>
      <c r="K51" s="575" t="s">
        <v>15</v>
      </c>
      <c r="L51" s="575" t="s">
        <v>14</v>
      </c>
      <c r="M51" s="575" t="s">
        <v>13</v>
      </c>
      <c r="N51" s="575" t="s">
        <v>12</v>
      </c>
      <c r="O51" s="575" t="s">
        <v>11</v>
      </c>
      <c r="P51" s="575" t="s">
        <v>10</v>
      </c>
      <c r="Q51" s="575" t="s">
        <v>9</v>
      </c>
      <c r="R51" s="575" t="s">
        <v>8</v>
      </c>
      <c r="S51" s="575" t="s">
        <v>7</v>
      </c>
      <c r="T51" s="575" t="s">
        <v>6</v>
      </c>
      <c r="U51" s="575" t="s">
        <v>5</v>
      </c>
      <c r="V51" s="575" t="s">
        <v>1420</v>
      </c>
      <c r="W51" s="575" t="s">
        <v>1421</v>
      </c>
      <c r="X51" s="575" t="s">
        <v>1422</v>
      </c>
      <c r="Y51" s="575" t="s">
        <v>1423</v>
      </c>
      <c r="Z51" s="575" t="s">
        <v>1424</v>
      </c>
      <c r="AA51" s="575" t="s">
        <v>1425</v>
      </c>
      <c r="AB51" s="692"/>
      <c r="AC51" s="442"/>
      <c r="AL51" s="616"/>
    </row>
    <row r="52" spans="2:38" x14ac:dyDescent="0.2">
      <c r="B52" s="693" t="s">
        <v>1795</v>
      </c>
      <c r="C52" s="695"/>
      <c r="D52" s="577" t="str">
        <f>IF(ROUND(D18+D19+D20+D21+D22,0)=ROUND(D14,0),"OK","ERROR")</f>
        <v>ERROR</v>
      </c>
      <c r="E52" s="577" t="str">
        <f t="shared" ref="E52:AA52" si="32">IF(ROUND(E18+E19+E20+E21+E22,0)=ROUND(E14,0),"OK","ERROR")</f>
        <v>OK</v>
      </c>
      <c r="F52" s="577" t="str">
        <f t="shared" si="32"/>
        <v>ERROR</v>
      </c>
      <c r="G52" s="577" t="str">
        <f t="shared" si="32"/>
        <v>OK</v>
      </c>
      <c r="H52" s="577" t="str">
        <f t="shared" si="32"/>
        <v>OK</v>
      </c>
      <c r="I52" s="577" t="str">
        <f t="shared" si="32"/>
        <v>OK</v>
      </c>
      <c r="J52" s="577" t="str">
        <f t="shared" si="32"/>
        <v>OK</v>
      </c>
      <c r="K52" s="577" t="str">
        <f t="shared" si="32"/>
        <v>OK</v>
      </c>
      <c r="L52" s="577" t="str">
        <f t="shared" si="32"/>
        <v>OK</v>
      </c>
      <c r="M52" s="577" t="str">
        <f t="shared" si="32"/>
        <v>OK</v>
      </c>
      <c r="N52" s="577" t="str">
        <f t="shared" si="32"/>
        <v>OK</v>
      </c>
      <c r="O52" s="577" t="str">
        <f t="shared" si="32"/>
        <v>ERROR</v>
      </c>
      <c r="P52" s="577" t="str">
        <f t="shared" si="32"/>
        <v>OK</v>
      </c>
      <c r="Q52" s="577" t="str">
        <f t="shared" si="32"/>
        <v>OK</v>
      </c>
      <c r="R52" s="577" t="str">
        <f t="shared" si="32"/>
        <v>OK</v>
      </c>
      <c r="S52" s="577" t="str">
        <f t="shared" si="32"/>
        <v>OK</v>
      </c>
      <c r="T52" s="577" t="str">
        <f t="shared" si="32"/>
        <v>OK</v>
      </c>
      <c r="U52" s="577" t="str">
        <f t="shared" si="32"/>
        <v>ERROR</v>
      </c>
      <c r="V52" s="577" t="str">
        <f t="shared" si="32"/>
        <v>OK</v>
      </c>
      <c r="W52" s="577" t="str">
        <f t="shared" si="32"/>
        <v>ERROR</v>
      </c>
      <c r="X52" s="577" t="str">
        <f t="shared" si="32"/>
        <v>OK</v>
      </c>
      <c r="Y52" s="577" t="str">
        <f t="shared" si="32"/>
        <v>OK</v>
      </c>
      <c r="Z52" s="577" t="str">
        <f t="shared" si="32"/>
        <v>OK</v>
      </c>
      <c r="AA52" s="577" t="str">
        <f t="shared" si="32"/>
        <v>ERROR</v>
      </c>
      <c r="AB52" s="692"/>
      <c r="AC52" s="442"/>
    </row>
    <row r="53" spans="2:38" x14ac:dyDescent="0.2">
      <c r="B53" s="693" t="s">
        <v>1767</v>
      </c>
      <c r="C53" s="695"/>
      <c r="D53" s="577" t="str">
        <f>IF(ROUND(D15,0)&lt;=ROUND(D14,0),"OK","ERROR")</f>
        <v>OK</v>
      </c>
      <c r="E53" s="577" t="str">
        <f t="shared" ref="E53:AA53" si="33">IF(ROUND(E15,0)&lt;=ROUND(E14,0),"OK","ERROR")</f>
        <v>OK</v>
      </c>
      <c r="F53" s="577" t="str">
        <f t="shared" si="33"/>
        <v>OK</v>
      </c>
      <c r="G53" s="577" t="str">
        <f t="shared" si="33"/>
        <v>OK</v>
      </c>
      <c r="H53" s="577" t="str">
        <f t="shared" si="33"/>
        <v>OK</v>
      </c>
      <c r="I53" s="577" t="str">
        <f t="shared" si="33"/>
        <v>OK</v>
      </c>
      <c r="J53" s="577" t="str">
        <f t="shared" si="33"/>
        <v>OK</v>
      </c>
      <c r="K53" s="577" t="str">
        <f t="shared" si="33"/>
        <v>OK</v>
      </c>
      <c r="L53" s="577" t="str">
        <f t="shared" si="33"/>
        <v>OK</v>
      </c>
      <c r="M53" s="577" t="str">
        <f t="shared" si="33"/>
        <v>OK</v>
      </c>
      <c r="N53" s="577" t="str">
        <f t="shared" si="33"/>
        <v>OK</v>
      </c>
      <c r="O53" s="577" t="str">
        <f t="shared" si="33"/>
        <v>OK</v>
      </c>
      <c r="P53" s="577" t="str">
        <f t="shared" si="33"/>
        <v>OK</v>
      </c>
      <c r="Q53" s="577" t="str">
        <f t="shared" si="33"/>
        <v>OK</v>
      </c>
      <c r="R53" s="577" t="str">
        <f t="shared" si="33"/>
        <v>OK</v>
      </c>
      <c r="S53" s="577" t="str">
        <f t="shared" si="33"/>
        <v>OK</v>
      </c>
      <c r="T53" s="577" t="str">
        <f t="shared" si="33"/>
        <v>OK</v>
      </c>
      <c r="U53" s="577" t="str">
        <f t="shared" si="33"/>
        <v>OK</v>
      </c>
      <c r="V53" s="577" t="str">
        <f t="shared" si="33"/>
        <v>OK</v>
      </c>
      <c r="W53" s="577" t="str">
        <f t="shared" si="33"/>
        <v>OK</v>
      </c>
      <c r="X53" s="577" t="str">
        <f t="shared" si="33"/>
        <v>OK</v>
      </c>
      <c r="Y53" s="577" t="str">
        <f t="shared" si="33"/>
        <v>OK</v>
      </c>
      <c r="Z53" s="577" t="str">
        <f t="shared" si="33"/>
        <v>OK</v>
      </c>
      <c r="AA53" s="577" t="str">
        <f t="shared" si="33"/>
        <v>OK</v>
      </c>
      <c r="AB53" s="692"/>
      <c r="AC53" s="442"/>
      <c r="AL53" s="260"/>
    </row>
    <row r="54" spans="2:38" x14ac:dyDescent="0.2">
      <c r="B54" s="693" t="s">
        <v>1768</v>
      </c>
      <c r="C54" s="695"/>
      <c r="D54" s="577" t="str">
        <f>IF(ROUND(D16,0)&lt;=ROUND(D15,0),"OK","ERROR")</f>
        <v>OK</v>
      </c>
      <c r="E54" s="577" t="str">
        <f t="shared" ref="E54:AA54" si="34">IF(ROUND(E16,0)&lt;=ROUND(E15,0),"OK","ERROR")</f>
        <v>OK</v>
      </c>
      <c r="F54" s="577" t="str">
        <f t="shared" si="34"/>
        <v>OK</v>
      </c>
      <c r="G54" s="577" t="str">
        <f t="shared" si="34"/>
        <v>OK</v>
      </c>
      <c r="H54" s="577" t="str">
        <f t="shared" si="34"/>
        <v>OK</v>
      </c>
      <c r="I54" s="577" t="str">
        <f t="shared" si="34"/>
        <v>OK</v>
      </c>
      <c r="J54" s="577" t="str">
        <f t="shared" si="34"/>
        <v>OK</v>
      </c>
      <c r="K54" s="577" t="str">
        <f t="shared" si="34"/>
        <v>OK</v>
      </c>
      <c r="L54" s="577" t="str">
        <f t="shared" si="34"/>
        <v>OK</v>
      </c>
      <c r="M54" s="577" t="str">
        <f t="shared" si="34"/>
        <v>OK</v>
      </c>
      <c r="N54" s="577" t="str">
        <f t="shared" si="34"/>
        <v>OK</v>
      </c>
      <c r="O54" s="577" t="str">
        <f t="shared" si="34"/>
        <v>OK</v>
      </c>
      <c r="P54" s="577" t="str">
        <f t="shared" si="34"/>
        <v>OK</v>
      </c>
      <c r="Q54" s="577" t="str">
        <f t="shared" si="34"/>
        <v>OK</v>
      </c>
      <c r="R54" s="577" t="str">
        <f t="shared" si="34"/>
        <v>OK</v>
      </c>
      <c r="S54" s="577" t="str">
        <f t="shared" si="34"/>
        <v>OK</v>
      </c>
      <c r="T54" s="577" t="str">
        <f t="shared" si="34"/>
        <v>OK</v>
      </c>
      <c r="U54" s="577" t="str">
        <f t="shared" si="34"/>
        <v>OK</v>
      </c>
      <c r="V54" s="577" t="str">
        <f t="shared" si="34"/>
        <v>OK</v>
      </c>
      <c r="W54" s="577" t="str">
        <f t="shared" si="34"/>
        <v>OK</v>
      </c>
      <c r="X54" s="577" t="str">
        <f t="shared" si="34"/>
        <v>OK</v>
      </c>
      <c r="Y54" s="577" t="str">
        <f t="shared" si="34"/>
        <v>OK</v>
      </c>
      <c r="Z54" s="577" t="str">
        <f t="shared" si="34"/>
        <v>OK</v>
      </c>
      <c r="AA54" s="577" t="str">
        <f t="shared" si="34"/>
        <v>OK</v>
      </c>
      <c r="AB54" s="692"/>
      <c r="AC54" s="442"/>
    </row>
    <row r="55" spans="2:38" x14ac:dyDescent="0.2">
      <c r="AL55" s="616"/>
    </row>
    <row r="56" spans="2:38" x14ac:dyDescent="0.2">
      <c r="AL56" s="616"/>
    </row>
    <row r="57" spans="2:38" x14ac:dyDescent="0.2">
      <c r="AL57" s="616"/>
    </row>
    <row r="58" spans="2:38" x14ac:dyDescent="0.2">
      <c r="AB58" s="692"/>
      <c r="AC58" s="442"/>
    </row>
    <row r="62" spans="2:38" x14ac:dyDescent="0.2">
      <c r="AL62" s="616"/>
    </row>
    <row r="63" spans="2:38" x14ac:dyDescent="0.2">
      <c r="AL63" s="616"/>
    </row>
    <row r="64" spans="2:38" x14ac:dyDescent="0.2">
      <c r="G64" s="575"/>
      <c r="N64" s="575"/>
      <c r="AL64" s="616"/>
    </row>
    <row r="65" spans="7:38" x14ac:dyDescent="0.2">
      <c r="G65" s="577"/>
      <c r="N65" s="577"/>
      <c r="AL65" s="616"/>
    </row>
    <row r="66" spans="7:38" x14ac:dyDescent="0.2">
      <c r="G66" s="577"/>
      <c r="N66" s="577"/>
      <c r="AL66" s="616"/>
    </row>
    <row r="67" spans="7:38" x14ac:dyDescent="0.2">
      <c r="G67" s="577"/>
      <c r="N67" s="577"/>
      <c r="AL67" s="616"/>
    </row>
    <row r="68" spans="7:38" x14ac:dyDescent="0.2">
      <c r="G68" s="577"/>
      <c r="N68" s="577"/>
      <c r="AL68" s="616"/>
    </row>
    <row r="69" spans="7:38" x14ac:dyDescent="0.2">
      <c r="G69" s="442"/>
      <c r="N69" s="442"/>
      <c r="AL69" s="616"/>
    </row>
    <row r="70" spans="7:38" x14ac:dyDescent="0.2">
      <c r="G70" s="577"/>
      <c r="N70" s="577"/>
      <c r="AL70" s="616"/>
    </row>
    <row r="71" spans="7:38" x14ac:dyDescent="0.2">
      <c r="AL71" s="616"/>
    </row>
    <row r="72" spans="7:38" x14ac:dyDescent="0.2">
      <c r="AL72" s="616"/>
    </row>
    <row r="73" spans="7:38" x14ac:dyDescent="0.2">
      <c r="AL73" s="616"/>
    </row>
  </sheetData>
  <mergeCells count="4">
    <mergeCell ref="P8:T8"/>
    <mergeCell ref="P9:S9"/>
    <mergeCell ref="S10:S12"/>
    <mergeCell ref="T10:T12"/>
  </mergeCells>
  <conditionalFormatting sqref="D28:D29">
    <cfRule type="cellIs" dxfId="1" priority="1" stopIfTrue="1" operator="equal">
      <formula>$D$52="ERROR"</formula>
    </cfRule>
  </conditionalFormatting>
  <printOptions gridLines="1" gridLinesSet="0"/>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colBreaks count="1" manualBreakCount="1">
    <brk id="15" max="34" man="1"/>
  </col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24">
    <tabColor rgb="FF00B0F0"/>
    <pageSetUpPr fitToPage="1"/>
  </sheetPr>
  <dimension ref="A1:N67"/>
  <sheetViews>
    <sheetView zoomScale="85" zoomScaleNormal="85" workbookViewId="0">
      <selection activeCell="C4" sqref="C4"/>
    </sheetView>
  </sheetViews>
  <sheetFormatPr defaultColWidth="13.42578125" defaultRowHeight="12.75" x14ac:dyDescent="0.2"/>
  <cols>
    <col min="1" max="1" width="6" customWidth="1"/>
    <col min="2" max="2" width="47.5703125" customWidth="1"/>
    <col min="3" max="3" width="8.5703125" customWidth="1"/>
    <col min="4" max="4" width="4.5703125" style="1" customWidth="1"/>
    <col min="5" max="10" width="19.42578125" customWidth="1"/>
    <col min="11" max="11" width="21.42578125" customWidth="1"/>
    <col min="12" max="12" width="4.5703125" customWidth="1"/>
    <col min="13" max="13" width="9.42578125" customWidth="1"/>
    <col min="14" max="14" width="26.42578125" customWidth="1"/>
  </cols>
  <sheetData>
    <row r="1" spans="1:14" ht="25.35" customHeight="1" x14ac:dyDescent="0.25">
      <c r="D1" s="9"/>
      <c r="E1" s="1168" t="s">
        <v>1953</v>
      </c>
      <c r="J1" s="202" t="s">
        <v>100</v>
      </c>
      <c r="K1" s="103" t="s">
        <v>190</v>
      </c>
    </row>
    <row r="2" spans="1:14" ht="25.35" customHeight="1" x14ac:dyDescent="0.25">
      <c r="A2" s="99"/>
      <c r="B2" s="99"/>
      <c r="D2" s="9"/>
      <c r="E2" s="104" t="s">
        <v>99</v>
      </c>
      <c r="J2" s="202" t="s">
        <v>98</v>
      </c>
      <c r="K2" s="203" t="s">
        <v>119</v>
      </c>
    </row>
    <row r="3" spans="1:14" ht="25.35" customHeight="1" x14ac:dyDescent="0.25">
      <c r="D3" s="9"/>
      <c r="E3" s="199" t="s">
        <v>97</v>
      </c>
      <c r="J3" s="202" t="s">
        <v>96</v>
      </c>
      <c r="K3" s="201" t="s">
        <v>121</v>
      </c>
    </row>
    <row r="4" spans="1:14" ht="25.35" customHeight="1" x14ac:dyDescent="0.25">
      <c r="A4" s="99"/>
      <c r="B4" s="106" t="s">
        <v>2250</v>
      </c>
      <c r="C4" s="200"/>
      <c r="D4" s="9"/>
      <c r="E4" s="199" t="s">
        <v>189</v>
      </c>
    </row>
    <row r="5" spans="1:14" ht="15" x14ac:dyDescent="0.25">
      <c r="A5" s="99"/>
      <c r="C5" s="198"/>
      <c r="D5" s="9"/>
      <c r="E5" s="1" t="s">
        <v>94</v>
      </c>
    </row>
    <row r="6" spans="1:14" ht="8.85" customHeight="1" x14ac:dyDescent="0.2">
      <c r="D6" s="9"/>
      <c r="E6" s="154"/>
      <c r="F6" s="154"/>
      <c r="G6" s="154"/>
      <c r="H6" s="154"/>
      <c r="I6" s="154"/>
      <c r="J6" s="154"/>
    </row>
    <row r="7" spans="1:14" ht="16.350000000000001" customHeight="1" x14ac:dyDescent="0.2">
      <c r="B7" s="197"/>
      <c r="C7" s="196"/>
      <c r="D7" s="12"/>
      <c r="L7" s="28"/>
    </row>
    <row r="8" spans="1:14" ht="87.6" customHeight="1" x14ac:dyDescent="0.2">
      <c r="A8" s="195"/>
      <c r="B8" s="195"/>
      <c r="C8" s="194"/>
      <c r="D8" s="88"/>
      <c r="E8" s="89" t="s">
        <v>188</v>
      </c>
      <c r="F8" s="90" t="s">
        <v>187</v>
      </c>
      <c r="G8" s="90" t="s">
        <v>186</v>
      </c>
      <c r="H8" s="90" t="s">
        <v>185</v>
      </c>
      <c r="I8" s="90" t="s">
        <v>184</v>
      </c>
      <c r="J8" s="90" t="s">
        <v>183</v>
      </c>
      <c r="K8" s="193" t="s">
        <v>84</v>
      </c>
      <c r="L8" s="88"/>
      <c r="N8" s="192"/>
    </row>
    <row r="9" spans="1:14" ht="25.35" customHeight="1" x14ac:dyDescent="0.2">
      <c r="A9" s="28"/>
      <c r="B9" s="28"/>
      <c r="C9" s="28"/>
      <c r="D9" s="58"/>
      <c r="E9" s="191" t="s">
        <v>22</v>
      </c>
      <c r="F9" s="191" t="s">
        <v>21</v>
      </c>
      <c r="G9" s="191" t="s">
        <v>20</v>
      </c>
      <c r="H9" s="191" t="s">
        <v>19</v>
      </c>
      <c r="I9" s="191" t="s">
        <v>18</v>
      </c>
      <c r="J9" s="191" t="s">
        <v>17</v>
      </c>
      <c r="K9" s="190" t="s">
        <v>16</v>
      </c>
      <c r="L9" s="58"/>
    </row>
    <row r="10" spans="1:14" ht="41.25" customHeight="1" x14ac:dyDescent="0.25">
      <c r="A10" s="183"/>
      <c r="B10" s="41" t="s">
        <v>182</v>
      </c>
      <c r="C10" s="189"/>
      <c r="D10" s="31"/>
      <c r="E10" s="174"/>
      <c r="F10" s="174"/>
      <c r="G10" s="174"/>
      <c r="H10" s="174"/>
      <c r="I10" s="174"/>
      <c r="J10" s="174"/>
      <c r="K10" s="173"/>
      <c r="L10" s="31"/>
    </row>
    <row r="11" spans="1:14" ht="25.35" customHeight="1" x14ac:dyDescent="0.25">
      <c r="A11" s="183"/>
      <c r="B11" s="188" t="s">
        <v>181</v>
      </c>
      <c r="C11" s="187"/>
      <c r="D11" s="184">
        <v>1</v>
      </c>
      <c r="E11" s="186"/>
      <c r="F11" s="186"/>
      <c r="G11" s="186"/>
      <c r="H11" s="186"/>
      <c r="I11" s="186"/>
      <c r="J11" s="186"/>
      <c r="K11" s="185"/>
      <c r="L11" s="184">
        <v>1</v>
      </c>
    </row>
    <row r="12" spans="1:14" ht="25.35" customHeight="1" x14ac:dyDescent="0.25">
      <c r="A12" s="183"/>
      <c r="B12" s="180" t="s">
        <v>180</v>
      </c>
      <c r="C12" s="166"/>
      <c r="D12" s="31">
        <v>2</v>
      </c>
      <c r="E12" s="33"/>
      <c r="F12" s="33"/>
      <c r="G12" s="33"/>
      <c r="H12" s="33"/>
      <c r="I12" s="33"/>
      <c r="J12" s="33"/>
      <c r="K12" s="164"/>
      <c r="L12" s="31">
        <v>2</v>
      </c>
    </row>
    <row r="13" spans="1:14" ht="27.6" customHeight="1" x14ac:dyDescent="0.25">
      <c r="A13" s="183"/>
      <c r="B13" s="175" t="s">
        <v>179</v>
      </c>
      <c r="D13" s="31"/>
      <c r="E13" s="174"/>
      <c r="F13" s="174"/>
      <c r="G13" s="174"/>
      <c r="H13" s="174"/>
      <c r="I13" s="174"/>
      <c r="J13" s="174"/>
      <c r="K13" s="173"/>
      <c r="L13" s="31"/>
    </row>
    <row r="14" spans="1:14" ht="25.35" customHeight="1" x14ac:dyDescent="0.2">
      <c r="A14" s="182"/>
      <c r="B14" s="176" t="s">
        <v>178</v>
      </c>
      <c r="C14" s="171"/>
      <c r="D14" s="31">
        <v>3</v>
      </c>
      <c r="E14" s="33"/>
      <c r="F14" s="33"/>
      <c r="G14" s="33"/>
      <c r="H14" s="33"/>
      <c r="I14" s="33"/>
      <c r="J14" s="33"/>
      <c r="K14" s="164"/>
      <c r="L14" s="31">
        <v>3</v>
      </c>
    </row>
    <row r="15" spans="1:14" ht="25.35" customHeight="1" x14ac:dyDescent="0.2">
      <c r="A15" s="167"/>
      <c r="B15" s="180" t="s">
        <v>177</v>
      </c>
      <c r="C15" s="166"/>
      <c r="D15" s="31">
        <v>4</v>
      </c>
      <c r="E15" s="33"/>
      <c r="F15" s="33"/>
      <c r="G15" s="33"/>
      <c r="H15" s="33"/>
      <c r="I15" s="33"/>
      <c r="J15" s="33"/>
      <c r="K15" s="164"/>
      <c r="L15" s="31">
        <v>4</v>
      </c>
    </row>
    <row r="16" spans="1:14" ht="27.6" customHeight="1" x14ac:dyDescent="0.2">
      <c r="A16" s="167"/>
      <c r="B16" s="175" t="s">
        <v>176</v>
      </c>
      <c r="D16" s="31"/>
      <c r="E16" s="174"/>
      <c r="F16" s="174"/>
      <c r="G16" s="174"/>
      <c r="H16" s="174"/>
      <c r="I16" s="174"/>
      <c r="J16" s="174"/>
      <c r="K16" s="173"/>
      <c r="L16" s="31"/>
    </row>
    <row r="17" spans="1:13" ht="25.35" customHeight="1" x14ac:dyDescent="0.2">
      <c r="A17" s="167"/>
      <c r="B17" s="176" t="s">
        <v>175</v>
      </c>
      <c r="C17" s="171"/>
      <c r="D17" s="31">
        <v>5</v>
      </c>
      <c r="E17" s="33"/>
      <c r="F17" s="711"/>
      <c r="G17" s="711"/>
      <c r="H17" s="711"/>
      <c r="I17" s="33"/>
      <c r="J17" s="33"/>
      <c r="K17" s="164"/>
      <c r="L17" s="31">
        <v>5</v>
      </c>
    </row>
    <row r="18" spans="1:13" ht="25.35" customHeight="1" x14ac:dyDescent="0.2">
      <c r="A18" s="167"/>
      <c r="B18" s="180" t="s">
        <v>174</v>
      </c>
      <c r="C18" s="166"/>
      <c r="D18" s="31">
        <v>6</v>
      </c>
      <c r="E18" s="33"/>
      <c r="F18" s="711"/>
      <c r="G18" s="711"/>
      <c r="H18" s="711"/>
      <c r="I18" s="33"/>
      <c r="J18" s="33"/>
      <c r="K18" s="164"/>
      <c r="L18" s="31">
        <v>6</v>
      </c>
    </row>
    <row r="19" spans="1:13" ht="27.6" customHeight="1" x14ac:dyDescent="0.2">
      <c r="A19" s="167"/>
      <c r="B19" s="175" t="s">
        <v>164</v>
      </c>
      <c r="D19" s="31"/>
      <c r="E19" s="174"/>
      <c r="F19" s="174"/>
      <c r="G19" s="174"/>
      <c r="H19" s="174"/>
      <c r="I19" s="174"/>
      <c r="J19" s="174"/>
      <c r="K19" s="173"/>
      <c r="L19" s="31"/>
    </row>
    <row r="20" spans="1:13" ht="25.35" customHeight="1" x14ac:dyDescent="0.2">
      <c r="A20" s="167"/>
      <c r="B20" s="181" t="s">
        <v>173</v>
      </c>
      <c r="C20" s="171"/>
      <c r="D20" s="31">
        <v>7</v>
      </c>
      <c r="E20" s="33"/>
      <c r="F20" s="711"/>
      <c r="G20" s="711"/>
      <c r="H20" s="711"/>
      <c r="I20" s="33"/>
      <c r="J20" s="33"/>
      <c r="K20" s="164"/>
      <c r="L20" s="31">
        <v>7</v>
      </c>
      <c r="M20" s="170"/>
    </row>
    <row r="21" spans="1:13" ht="25.35" customHeight="1" x14ac:dyDescent="0.2">
      <c r="A21" s="177"/>
      <c r="B21" s="180" t="s">
        <v>172</v>
      </c>
      <c r="C21" s="166"/>
      <c r="D21" s="31">
        <v>8</v>
      </c>
      <c r="E21" s="33"/>
      <c r="F21" s="711"/>
      <c r="G21" s="711"/>
      <c r="H21" s="711"/>
      <c r="I21" s="33"/>
      <c r="J21" s="33"/>
      <c r="K21" s="164"/>
      <c r="L21" s="31">
        <v>8</v>
      </c>
    </row>
    <row r="22" spans="1:13" ht="25.35" customHeight="1" x14ac:dyDescent="0.2">
      <c r="A22" s="177"/>
      <c r="B22" s="179" t="s">
        <v>171</v>
      </c>
      <c r="C22" s="166"/>
      <c r="D22" s="31">
        <v>24</v>
      </c>
      <c r="E22" s="33"/>
      <c r="F22" s="711"/>
      <c r="G22" s="711"/>
      <c r="H22" s="711"/>
      <c r="I22" s="33"/>
      <c r="J22" s="33"/>
      <c r="K22" s="164"/>
      <c r="L22" s="31">
        <v>24</v>
      </c>
    </row>
    <row r="23" spans="1:13" ht="25.35" customHeight="1" x14ac:dyDescent="0.2">
      <c r="A23" s="177"/>
      <c r="B23" s="178" t="s">
        <v>170</v>
      </c>
      <c r="C23" s="166"/>
      <c r="D23" s="31">
        <v>25</v>
      </c>
      <c r="E23" s="33"/>
      <c r="F23" s="711"/>
      <c r="G23" s="711"/>
      <c r="H23" s="711"/>
      <c r="I23" s="33"/>
      <c r="J23" s="33"/>
      <c r="K23" s="164"/>
      <c r="L23" s="31">
        <v>25</v>
      </c>
    </row>
    <row r="24" spans="1:13" ht="27.6" customHeight="1" x14ac:dyDescent="0.2">
      <c r="A24" s="167"/>
      <c r="B24" s="1217" t="s">
        <v>2008</v>
      </c>
      <c r="D24" s="31"/>
      <c r="E24" s="174"/>
      <c r="F24" s="174"/>
      <c r="G24" s="174"/>
      <c r="H24" s="174"/>
      <c r="I24" s="174"/>
      <c r="J24" s="174"/>
      <c r="K24" s="173"/>
      <c r="L24" s="31"/>
    </row>
    <row r="25" spans="1:13" ht="25.35" customHeight="1" x14ac:dyDescent="0.2">
      <c r="A25" s="167"/>
      <c r="B25" s="176" t="s">
        <v>169</v>
      </c>
      <c r="C25" s="171"/>
      <c r="D25" s="31">
        <v>9</v>
      </c>
      <c r="E25" s="33"/>
      <c r="F25" s="33"/>
      <c r="G25" s="33"/>
      <c r="H25" s="33"/>
      <c r="I25" s="33"/>
      <c r="J25" s="33"/>
      <c r="K25" s="164"/>
      <c r="L25" s="31">
        <v>9</v>
      </c>
    </row>
    <row r="26" spans="1:13" ht="25.35" customHeight="1" x14ac:dyDescent="0.2">
      <c r="A26" s="167"/>
      <c r="B26" s="176" t="s">
        <v>168</v>
      </c>
      <c r="C26" s="166"/>
      <c r="D26" s="31">
        <v>10</v>
      </c>
      <c r="E26" s="33"/>
      <c r="F26" s="33"/>
      <c r="G26" s="33"/>
      <c r="H26" s="33"/>
      <c r="I26" s="33"/>
      <c r="J26" s="33"/>
      <c r="K26" s="164"/>
      <c r="L26" s="31">
        <v>10</v>
      </c>
    </row>
    <row r="27" spans="1:13" ht="25.35" customHeight="1" x14ac:dyDescent="0.2">
      <c r="A27" s="167"/>
      <c r="B27" s="176" t="s">
        <v>167</v>
      </c>
      <c r="C27" s="166"/>
      <c r="D27" s="31">
        <v>11</v>
      </c>
      <c r="E27" s="33"/>
      <c r="F27" s="33"/>
      <c r="G27" s="33"/>
      <c r="H27" s="33"/>
      <c r="I27" s="33"/>
      <c r="J27" s="33"/>
      <c r="K27" s="164"/>
      <c r="L27" s="31">
        <v>11</v>
      </c>
    </row>
    <row r="28" spans="1:13" ht="25.35" customHeight="1" x14ac:dyDescent="0.2">
      <c r="A28" s="167"/>
      <c r="B28" s="176" t="s">
        <v>166</v>
      </c>
      <c r="C28" s="166"/>
      <c r="D28" s="31">
        <v>12</v>
      </c>
      <c r="E28" s="33"/>
      <c r="F28" s="33"/>
      <c r="G28" s="33"/>
      <c r="H28" s="33"/>
      <c r="I28" s="33"/>
      <c r="J28" s="33"/>
      <c r="K28" s="164"/>
      <c r="L28" s="31">
        <v>12</v>
      </c>
    </row>
    <row r="29" spans="1:13" ht="25.35" customHeight="1" x14ac:dyDescent="0.2">
      <c r="A29" s="177"/>
      <c r="B29" s="176" t="s">
        <v>165</v>
      </c>
      <c r="C29" s="166"/>
      <c r="D29" s="31">
        <v>13</v>
      </c>
      <c r="E29" s="33"/>
      <c r="F29" s="33"/>
      <c r="G29" s="33"/>
      <c r="H29" s="33"/>
      <c r="I29" s="33"/>
      <c r="J29" s="33"/>
      <c r="K29" s="164"/>
      <c r="L29" s="31">
        <v>13</v>
      </c>
    </row>
    <row r="30" spans="1:13" ht="27.6" customHeight="1" x14ac:dyDescent="0.2">
      <c r="A30" s="168"/>
      <c r="B30" s="1217" t="s">
        <v>2009</v>
      </c>
      <c r="D30" s="31"/>
      <c r="E30" s="174"/>
      <c r="F30" s="174"/>
      <c r="G30" s="174"/>
      <c r="H30" s="174"/>
      <c r="I30" s="174"/>
      <c r="J30" s="174"/>
      <c r="K30" s="173"/>
      <c r="L30" s="31"/>
    </row>
    <row r="31" spans="1:13" ht="25.35" customHeight="1" x14ac:dyDescent="0.2">
      <c r="A31" s="167"/>
      <c r="B31" s="176" t="s">
        <v>169</v>
      </c>
      <c r="C31" s="171"/>
      <c r="D31" s="31">
        <v>14</v>
      </c>
      <c r="E31" s="33"/>
      <c r="F31" s="33"/>
      <c r="G31" s="33"/>
      <c r="H31" s="33"/>
      <c r="I31" s="33"/>
      <c r="J31" s="33"/>
      <c r="K31" s="164"/>
      <c r="L31" s="31">
        <v>14</v>
      </c>
    </row>
    <row r="32" spans="1:13" ht="25.35" customHeight="1" x14ac:dyDescent="0.2">
      <c r="A32" s="168"/>
      <c r="B32" s="176" t="s">
        <v>168</v>
      </c>
      <c r="C32" s="166"/>
      <c r="D32" s="31">
        <v>15</v>
      </c>
      <c r="E32" s="33"/>
      <c r="F32" s="33"/>
      <c r="G32" s="33"/>
      <c r="H32" s="33"/>
      <c r="I32" s="33"/>
      <c r="J32" s="33"/>
      <c r="K32" s="164"/>
      <c r="L32" s="31">
        <v>15</v>
      </c>
      <c r="M32" s="170"/>
    </row>
    <row r="33" spans="1:13" ht="25.35" customHeight="1" x14ac:dyDescent="0.2">
      <c r="A33" s="167"/>
      <c r="B33" s="176" t="s">
        <v>167</v>
      </c>
      <c r="C33" s="166"/>
      <c r="D33" s="31">
        <v>16</v>
      </c>
      <c r="E33" s="33"/>
      <c r="F33" s="33"/>
      <c r="G33" s="33"/>
      <c r="H33" s="33"/>
      <c r="I33" s="33"/>
      <c r="J33" s="33"/>
      <c r="K33" s="164"/>
      <c r="L33" s="31">
        <v>16</v>
      </c>
    </row>
    <row r="34" spans="1:13" ht="25.35" customHeight="1" x14ac:dyDescent="0.2">
      <c r="A34" s="168"/>
      <c r="B34" s="176" t="s">
        <v>166</v>
      </c>
      <c r="C34" s="166"/>
      <c r="D34" s="31">
        <v>17</v>
      </c>
      <c r="E34" s="33"/>
      <c r="F34" s="33"/>
      <c r="G34" s="33"/>
      <c r="H34" s="33"/>
      <c r="I34" s="33"/>
      <c r="J34" s="33"/>
      <c r="K34" s="164"/>
      <c r="L34" s="31">
        <v>17</v>
      </c>
    </row>
    <row r="35" spans="1:13" ht="25.35" customHeight="1" x14ac:dyDescent="0.2">
      <c r="A35" s="167"/>
      <c r="B35" s="176" t="s">
        <v>165</v>
      </c>
      <c r="C35" s="166"/>
      <c r="D35" s="31">
        <v>18</v>
      </c>
      <c r="E35" s="33"/>
      <c r="F35" s="33"/>
      <c r="G35" s="33"/>
      <c r="H35" s="33"/>
      <c r="I35" s="33"/>
      <c r="J35" s="33"/>
      <c r="K35" s="164"/>
      <c r="L35" s="31">
        <v>18</v>
      </c>
    </row>
    <row r="36" spans="1:13" ht="27.6" customHeight="1" x14ac:dyDescent="0.2">
      <c r="A36" s="167"/>
      <c r="B36" s="175" t="s">
        <v>164</v>
      </c>
      <c r="D36" s="31"/>
      <c r="E36" s="174"/>
      <c r="F36" s="174"/>
      <c r="G36" s="174"/>
      <c r="H36" s="174"/>
      <c r="I36" s="174"/>
      <c r="J36" s="174"/>
      <c r="K36" s="173"/>
      <c r="L36" s="31"/>
    </row>
    <row r="37" spans="1:13" ht="25.35" customHeight="1" x14ac:dyDescent="0.2">
      <c r="A37" s="167"/>
      <c r="B37" s="172" t="s">
        <v>163</v>
      </c>
      <c r="C37" s="171"/>
      <c r="D37" s="31">
        <v>19</v>
      </c>
      <c r="E37" s="33"/>
      <c r="F37" s="711"/>
      <c r="G37" s="711"/>
      <c r="H37" s="711"/>
      <c r="I37" s="33"/>
      <c r="J37" s="33"/>
      <c r="K37" s="164"/>
      <c r="L37" s="31">
        <v>19</v>
      </c>
    </row>
    <row r="38" spans="1:13" s="1182" customFormat="1" ht="25.35" customHeight="1" x14ac:dyDescent="0.2">
      <c r="A38" s="168"/>
      <c r="B38" s="162" t="s">
        <v>157</v>
      </c>
      <c r="C38" s="161"/>
      <c r="D38" s="229" t="s">
        <v>241</v>
      </c>
      <c r="E38" s="159"/>
      <c r="F38" s="160"/>
      <c r="G38" s="160"/>
      <c r="H38" s="160"/>
      <c r="I38" s="159"/>
      <c r="J38" s="159"/>
      <c r="K38" s="159"/>
      <c r="L38" s="229" t="s">
        <v>241</v>
      </c>
    </row>
    <row r="39" spans="1:13" s="1182" customFormat="1" ht="25.35" customHeight="1" x14ac:dyDescent="0.2">
      <c r="A39" s="168"/>
      <c r="B39" s="162" t="s">
        <v>1972</v>
      </c>
      <c r="C39" s="161"/>
      <c r="D39" s="229" t="s">
        <v>241</v>
      </c>
      <c r="E39" s="159"/>
      <c r="F39" s="160"/>
      <c r="G39" s="160"/>
      <c r="H39" s="160"/>
      <c r="I39" s="159"/>
      <c r="J39" s="159"/>
      <c r="K39" s="159"/>
      <c r="L39" s="229" t="s">
        <v>241</v>
      </c>
    </row>
    <row r="40" spans="1:13" ht="25.35" customHeight="1" x14ac:dyDescent="0.2">
      <c r="A40" s="482"/>
      <c r="B40" s="1184" t="s">
        <v>162</v>
      </c>
      <c r="C40" s="468"/>
      <c r="D40" s="361">
        <v>20</v>
      </c>
      <c r="E40" s="164"/>
      <c r="F40" s="485"/>
      <c r="G40" s="485"/>
      <c r="H40" s="485"/>
      <c r="I40" s="164"/>
      <c r="J40" s="164"/>
      <c r="K40" s="164"/>
      <c r="L40" s="361">
        <v>20</v>
      </c>
      <c r="M40" s="170"/>
    </row>
    <row r="41" spans="1:13" ht="25.35" customHeight="1" x14ac:dyDescent="0.2">
      <c r="A41" s="1188"/>
      <c r="B41" s="1184" t="s">
        <v>161</v>
      </c>
      <c r="C41" s="468"/>
      <c r="D41" s="361">
        <v>21</v>
      </c>
      <c r="E41" s="164"/>
      <c r="F41" s="485"/>
      <c r="G41" s="485"/>
      <c r="H41" s="485"/>
      <c r="I41" s="164"/>
      <c r="J41" s="164"/>
      <c r="K41" s="164"/>
      <c r="L41" s="361">
        <v>21</v>
      </c>
    </row>
    <row r="42" spans="1:13" ht="25.35" customHeight="1" x14ac:dyDescent="0.2">
      <c r="A42" s="482"/>
      <c r="B42" s="1184" t="s">
        <v>160</v>
      </c>
      <c r="C42" s="468"/>
      <c r="D42" s="361">
        <v>22</v>
      </c>
      <c r="E42" s="164"/>
      <c r="F42" s="485"/>
      <c r="G42" s="485"/>
      <c r="H42" s="485"/>
      <c r="I42" s="164"/>
      <c r="J42" s="164"/>
      <c r="K42" s="164"/>
      <c r="L42" s="361">
        <v>22</v>
      </c>
    </row>
    <row r="43" spans="1:13" ht="25.35" customHeight="1" x14ac:dyDescent="0.2">
      <c r="A43" s="482"/>
      <c r="B43" s="1189" t="s">
        <v>159</v>
      </c>
      <c r="C43" s="468"/>
      <c r="D43" s="361">
        <v>23</v>
      </c>
      <c r="E43" s="164"/>
      <c r="F43" s="485"/>
      <c r="G43" s="485"/>
      <c r="H43" s="485"/>
      <c r="I43" s="164"/>
      <c r="J43" s="164"/>
      <c r="K43" s="164"/>
      <c r="L43" s="361">
        <v>23</v>
      </c>
    </row>
    <row r="44" spans="1:13" ht="25.35" customHeight="1" x14ac:dyDescent="0.2">
      <c r="A44" s="482"/>
      <c r="B44" s="1184" t="s">
        <v>156</v>
      </c>
      <c r="C44" s="468"/>
      <c r="D44" s="361">
        <v>26</v>
      </c>
      <c r="E44" s="164"/>
      <c r="F44" s="485"/>
      <c r="G44" s="485"/>
      <c r="H44" s="485"/>
      <c r="I44" s="164"/>
      <c r="J44" s="164"/>
      <c r="K44" s="164"/>
      <c r="L44" s="361">
        <v>26</v>
      </c>
    </row>
    <row r="45" spans="1:13" ht="25.35" customHeight="1" x14ac:dyDescent="0.2">
      <c r="A45" s="482"/>
      <c r="B45" s="1184" t="s">
        <v>155</v>
      </c>
      <c r="C45" s="468"/>
      <c r="D45" s="361">
        <v>27</v>
      </c>
      <c r="E45" s="164"/>
      <c r="F45" s="485"/>
      <c r="G45" s="485"/>
      <c r="H45" s="485"/>
      <c r="I45" s="164"/>
      <c r="J45" s="164"/>
      <c r="K45" s="164"/>
      <c r="L45" s="361">
        <v>27</v>
      </c>
    </row>
    <row r="46" spans="1:13" ht="25.35" customHeight="1" x14ac:dyDescent="0.2">
      <c r="A46" s="482"/>
      <c r="B46" s="1184" t="s">
        <v>154</v>
      </c>
      <c r="C46" s="468"/>
      <c r="D46" s="361">
        <v>28</v>
      </c>
      <c r="E46" s="164"/>
      <c r="F46" s="485"/>
      <c r="G46" s="485"/>
      <c r="H46" s="485"/>
      <c r="I46" s="164"/>
      <c r="J46" s="164"/>
      <c r="K46" s="164"/>
      <c r="L46" s="361">
        <v>28</v>
      </c>
    </row>
    <row r="47" spans="1:13" s="157" customFormat="1" ht="25.35" customHeight="1" x14ac:dyDescent="0.2">
      <c r="A47" s="482"/>
      <c r="B47" s="1184" t="s">
        <v>153</v>
      </c>
      <c r="C47" s="468"/>
      <c r="D47" s="1039" t="s">
        <v>241</v>
      </c>
      <c r="E47" s="164"/>
      <c r="F47" s="485"/>
      <c r="G47" s="485"/>
      <c r="H47" s="485"/>
      <c r="I47" s="164"/>
      <c r="J47" s="164"/>
      <c r="K47" s="164"/>
      <c r="L47" s="1039" t="s">
        <v>241</v>
      </c>
    </row>
    <row r="48" spans="1:13" ht="25.35" customHeight="1" x14ac:dyDescent="0.2">
      <c r="A48" s="168"/>
      <c r="B48" s="169" t="s">
        <v>158</v>
      </c>
      <c r="C48" s="166"/>
      <c r="D48" s="31">
        <v>29</v>
      </c>
      <c r="E48" s="33"/>
      <c r="F48" s="711"/>
      <c r="G48" s="711"/>
      <c r="H48" s="711"/>
      <c r="I48" s="33"/>
      <c r="J48" s="33"/>
      <c r="K48" s="164"/>
      <c r="L48" s="31">
        <v>29</v>
      </c>
    </row>
    <row r="49" spans="1:12" ht="25.35" customHeight="1" x14ac:dyDescent="0.2">
      <c r="A49" s="168"/>
      <c r="B49" s="162" t="s">
        <v>157</v>
      </c>
      <c r="C49" s="161"/>
      <c r="D49" s="229" t="s">
        <v>241</v>
      </c>
      <c r="E49" s="159"/>
      <c r="F49" s="160"/>
      <c r="G49" s="160"/>
      <c r="H49" s="160"/>
      <c r="I49" s="159"/>
      <c r="J49" s="159"/>
      <c r="K49" s="159"/>
      <c r="L49" s="229" t="s">
        <v>241</v>
      </c>
    </row>
    <row r="50" spans="1:12" s="1182" customFormat="1" ht="25.35" customHeight="1" x14ac:dyDescent="0.2">
      <c r="A50" s="168"/>
      <c r="B50" s="162" t="s">
        <v>1972</v>
      </c>
      <c r="C50" s="161"/>
      <c r="D50" s="229" t="s">
        <v>241</v>
      </c>
      <c r="E50" s="159"/>
      <c r="F50" s="160"/>
      <c r="G50" s="160"/>
      <c r="H50" s="160"/>
      <c r="I50" s="159"/>
      <c r="J50" s="159"/>
      <c r="K50" s="159"/>
      <c r="L50" s="229" t="s">
        <v>241</v>
      </c>
    </row>
    <row r="51" spans="1:12" ht="25.35" customHeight="1" x14ac:dyDescent="0.2">
      <c r="A51" s="482"/>
      <c r="B51" s="1184" t="s">
        <v>156</v>
      </c>
      <c r="C51" s="468"/>
      <c r="D51" s="361">
        <v>30</v>
      </c>
      <c r="E51" s="164"/>
      <c r="F51" s="485"/>
      <c r="G51" s="485"/>
      <c r="H51" s="485"/>
      <c r="I51" s="164"/>
      <c r="J51" s="164"/>
      <c r="K51" s="164"/>
      <c r="L51" s="361">
        <v>30</v>
      </c>
    </row>
    <row r="52" spans="1:12" ht="25.35" customHeight="1" x14ac:dyDescent="0.2">
      <c r="A52" s="482"/>
      <c r="B52" s="1184" t="s">
        <v>155</v>
      </c>
      <c r="C52" s="468"/>
      <c r="D52" s="361">
        <v>31</v>
      </c>
      <c r="E52" s="164"/>
      <c r="F52" s="485"/>
      <c r="G52" s="485"/>
      <c r="H52" s="485"/>
      <c r="I52" s="164"/>
      <c r="J52" s="164"/>
      <c r="K52" s="164"/>
      <c r="L52" s="361">
        <v>31</v>
      </c>
    </row>
    <row r="53" spans="1:12" ht="25.35" customHeight="1" x14ac:dyDescent="0.2">
      <c r="A53" s="1188"/>
      <c r="B53" s="1190" t="s">
        <v>154</v>
      </c>
      <c r="C53" s="468"/>
      <c r="D53" s="361">
        <v>32</v>
      </c>
      <c r="E53" s="164"/>
      <c r="F53" s="485"/>
      <c r="G53" s="485"/>
      <c r="H53" s="485"/>
      <c r="I53" s="164"/>
      <c r="J53" s="164"/>
      <c r="K53" s="164"/>
      <c r="L53" s="361">
        <v>32</v>
      </c>
    </row>
    <row r="54" spans="1:12" s="157" customFormat="1" ht="25.35" customHeight="1" x14ac:dyDescent="0.2">
      <c r="A54" s="482"/>
      <c r="B54" s="1184" t="s">
        <v>153</v>
      </c>
      <c r="C54" s="468"/>
      <c r="D54" s="1039" t="s">
        <v>241</v>
      </c>
      <c r="E54" s="164"/>
      <c r="F54" s="485"/>
      <c r="G54" s="485"/>
      <c r="H54" s="485"/>
      <c r="I54" s="164"/>
      <c r="J54" s="164"/>
      <c r="K54" s="164"/>
      <c r="L54" s="1039" t="s">
        <v>241</v>
      </c>
    </row>
    <row r="55" spans="1:12" ht="7.5" customHeight="1" x14ac:dyDescent="0.2">
      <c r="A55" s="28"/>
      <c r="B55" s="28"/>
      <c r="C55" s="28"/>
      <c r="D55" s="12"/>
      <c r="E55" s="28"/>
      <c r="F55" s="28"/>
      <c r="G55" s="28"/>
      <c r="H55" s="28"/>
      <c r="I55" s="28"/>
      <c r="J55" s="28"/>
      <c r="K55" s="28"/>
      <c r="L55" s="28"/>
    </row>
    <row r="56" spans="1:12" x14ac:dyDescent="0.2">
      <c r="A56" s="156"/>
      <c r="B56" s="26" t="str">
        <f>"Version: "&amp;E63</f>
        <v>Version: 1.01.E0</v>
      </c>
      <c r="C56" s="20"/>
      <c r="D56"/>
      <c r="L56" s="143" t="s">
        <v>25</v>
      </c>
    </row>
    <row r="57" spans="1:12" s="1" customFormat="1" ht="18.75" customHeight="1" x14ac:dyDescent="0.2">
      <c r="L57" s="9"/>
    </row>
    <row r="58" spans="1:12" s="1" customFormat="1" ht="18.75" customHeight="1" x14ac:dyDescent="0.2">
      <c r="L58" s="9"/>
    </row>
    <row r="59" spans="1:12" s="1" customFormat="1" ht="18.75" customHeight="1" x14ac:dyDescent="0.2"/>
    <row r="60" spans="1:12" s="1" customFormat="1" ht="18.75" customHeight="1" x14ac:dyDescent="0.2">
      <c r="B60" s="21"/>
      <c r="C60" s="156"/>
      <c r="D60" s="20" t="s">
        <v>24</v>
      </c>
      <c r="E60" s="19" t="str">
        <f>K2</f>
        <v>XXXXXX</v>
      </c>
    </row>
    <row r="61" spans="1:12" s="1" customFormat="1" ht="18.75" customHeight="1" x14ac:dyDescent="0.2">
      <c r="B61" s="15"/>
      <c r="C61" s="9"/>
      <c r="E61" s="14" t="str">
        <f>K1</f>
        <v>P_CRFUNDS</v>
      </c>
    </row>
    <row r="62" spans="1:12" s="1" customFormat="1" ht="18.75" customHeight="1" x14ac:dyDescent="0.2">
      <c r="B62" s="15"/>
      <c r="C62" s="9"/>
      <c r="E62" s="18" t="str">
        <f>K3</f>
        <v>DD.MM.YYYY</v>
      </c>
    </row>
    <row r="63" spans="1:12" s="1" customFormat="1" ht="18.75" customHeight="1" x14ac:dyDescent="0.2">
      <c r="B63" s="17"/>
      <c r="C63" s="155"/>
      <c r="E63" s="16" t="s">
        <v>152</v>
      </c>
    </row>
    <row r="64" spans="1:12" s="1" customFormat="1" ht="18.75" customHeight="1" x14ac:dyDescent="0.2">
      <c r="B64" s="15"/>
      <c r="C64" s="9"/>
      <c r="E64" s="14" t="str">
        <f>E9</f>
        <v>col. 01</v>
      </c>
    </row>
    <row r="65" spans="2:5" s="1" customFormat="1" ht="18.75" customHeight="1" x14ac:dyDescent="0.2">
      <c r="B65" s="13"/>
      <c r="C65" s="12"/>
      <c r="D65" s="12"/>
      <c r="E65" s="11"/>
    </row>
    <row r="66" spans="2:5" s="1" customFormat="1" ht="20.85" customHeight="1" x14ac:dyDescent="0.2">
      <c r="B66" s="9"/>
      <c r="C66" s="9"/>
      <c r="D66" s="8"/>
      <c r="E66" s="10"/>
    </row>
    <row r="67" spans="2:5" s="1" customFormat="1" x14ac:dyDescent="0.2"/>
  </sheetData>
  <conditionalFormatting sqref="E41">
    <cfRule type="cellIs" dxfId="0" priority="1" stopIfTrue="1" operator="equal">
      <formula>#REF!="ERROR"</formula>
    </cfRule>
  </conditionalFormatting>
  <printOptions gridLines="1" gridLinesSet="0"/>
  <pageMargins left="0.39370078740157483" right="0.39370078740157483" top="0.78740157480314965" bottom="0.78740157480314965" header="0.31496062992125984" footer="0.31496062992125984"/>
  <pageSetup paperSize="9" scale="54" pageOrder="overThenDown" orientation="landscape" horizontalDpi="1200" verticalDpi="1200" r:id="rId1"/>
  <headerFooter alignWithMargins="0">
    <oddFooter>&amp;L&amp;"Arial,Fett"SNB Confidential&amp;C&amp;D&amp;RPage &amp;P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Tabelle25">
    <tabColor rgb="FF92D050"/>
  </sheetPr>
  <dimension ref="A1:O42"/>
  <sheetViews>
    <sheetView zoomScale="85" zoomScaleNormal="85" workbookViewId="0">
      <selection activeCell="H27" sqref="H27"/>
    </sheetView>
  </sheetViews>
  <sheetFormatPr defaultColWidth="11.42578125" defaultRowHeight="12.75" x14ac:dyDescent="0.2"/>
  <cols>
    <col min="1" max="1" width="4.140625" style="1" customWidth="1"/>
    <col min="2" max="2" width="86.42578125" style="1" bestFit="1" customWidth="1"/>
    <col min="3" max="3" width="4.5703125" style="1" customWidth="1"/>
    <col min="4" max="5" width="28.42578125" style="1" customWidth="1"/>
    <col min="6" max="6" width="4.5703125" style="1" customWidth="1"/>
    <col min="7" max="7" width="24.5703125" style="1" customWidth="1"/>
    <col min="8" max="8" width="25" style="1" bestFit="1" customWidth="1"/>
    <col min="9" max="9" width="11.42578125" style="1" customWidth="1"/>
    <col min="10" max="16384" width="11.42578125" style="1"/>
  </cols>
  <sheetData>
    <row r="1" spans="1:15" ht="25.35" customHeight="1" x14ac:dyDescent="0.25">
      <c r="A1" s="9"/>
      <c r="B1" s="9"/>
      <c r="C1" s="9"/>
      <c r="D1" s="1170" t="s">
        <v>1954</v>
      </c>
      <c r="F1" s="101" t="s">
        <v>100</v>
      </c>
      <c r="G1" s="105" t="s">
        <v>1686</v>
      </c>
      <c r="H1" s="530"/>
    </row>
    <row r="2" spans="1:15" ht="25.35" customHeight="1" x14ac:dyDescent="0.25">
      <c r="A2" s="9"/>
      <c r="B2" s="530"/>
      <c r="C2" s="9"/>
      <c r="D2" s="104" t="s">
        <v>99</v>
      </c>
      <c r="F2" s="101" t="s">
        <v>98</v>
      </c>
      <c r="G2" s="103" t="s">
        <v>119</v>
      </c>
      <c r="H2" s="530"/>
    </row>
    <row r="3" spans="1:15" ht="25.35" customHeight="1" x14ac:dyDescent="0.25">
      <c r="A3" s="9"/>
      <c r="B3" s="530"/>
      <c r="C3" s="9"/>
      <c r="D3" s="534" t="s">
        <v>1372</v>
      </c>
      <c r="F3" s="101" t="s">
        <v>96</v>
      </c>
      <c r="G3" s="100" t="s">
        <v>121</v>
      </c>
      <c r="H3" s="530"/>
    </row>
    <row r="4" spans="1:15" ht="25.35" customHeight="1" x14ac:dyDescent="0.2">
      <c r="A4" s="9"/>
      <c r="B4" s="530"/>
      <c r="C4" s="9"/>
      <c r="D4" s="1" t="s">
        <v>94</v>
      </c>
      <c r="F4" s="99"/>
      <c r="G4" s="533"/>
      <c r="H4" s="530"/>
    </row>
    <row r="5" spans="1:15" ht="25.35" customHeight="1" x14ac:dyDescent="0.2">
      <c r="A5" s="9"/>
      <c r="B5" s="106" t="s">
        <v>2250</v>
      </c>
      <c r="C5" s="9"/>
      <c r="F5" s="530"/>
      <c r="G5" s="530"/>
      <c r="H5" s="530"/>
    </row>
    <row r="6" spans="1:15" ht="25.35" customHeight="1" x14ac:dyDescent="0.2">
      <c r="A6" s="9"/>
      <c r="B6" s="530"/>
      <c r="C6" s="9"/>
      <c r="D6" s="9"/>
    </row>
    <row r="7" spans="1:15" ht="25.35" customHeight="1" x14ac:dyDescent="0.2">
      <c r="A7" s="12"/>
      <c r="B7" s="530"/>
      <c r="C7" s="12"/>
      <c r="D7" s="12"/>
      <c r="F7" s="529"/>
      <c r="G7" s="530"/>
      <c r="H7" s="530"/>
    </row>
    <row r="8" spans="1:15" ht="18" x14ac:dyDescent="0.25">
      <c r="A8" s="532"/>
      <c r="B8" s="531"/>
      <c r="C8" s="88"/>
      <c r="D8" s="94" t="s">
        <v>1359</v>
      </c>
      <c r="E8" s="94" t="s">
        <v>1309</v>
      </c>
      <c r="F8" s="88"/>
      <c r="G8" s="87"/>
      <c r="H8" s="860" t="s">
        <v>2046</v>
      </c>
      <c r="I8" s="23"/>
      <c r="J8" s="23"/>
      <c r="K8" s="23"/>
      <c r="L8" s="23"/>
      <c r="M8" s="23"/>
      <c r="N8" s="23"/>
      <c r="O8" s="23"/>
    </row>
    <row r="9" spans="1:15" ht="25.35" customHeight="1" x14ac:dyDescent="0.2">
      <c r="A9" s="530"/>
      <c r="B9" s="529"/>
      <c r="C9" s="58"/>
      <c r="D9" s="59" t="s">
        <v>22</v>
      </c>
      <c r="E9" s="59" t="s">
        <v>21</v>
      </c>
      <c r="F9" s="58"/>
      <c r="G9" s="539"/>
      <c r="H9" s="1057" t="str">
        <f>IF(MIN(D10:E29)&lt;0,"ERROR","OK")</f>
        <v>OK</v>
      </c>
      <c r="I9" s="23"/>
      <c r="J9" s="23"/>
      <c r="K9" s="23"/>
      <c r="L9" s="23"/>
      <c r="M9" s="23"/>
      <c r="N9" s="23"/>
      <c r="O9" s="23"/>
    </row>
    <row r="10" spans="1:15" ht="24.6" customHeight="1" thickBot="1" x14ac:dyDescent="0.25">
      <c r="A10" s="537"/>
      <c r="B10" s="1430" t="s">
        <v>1360</v>
      </c>
      <c r="C10" s="437">
        <v>1</v>
      </c>
      <c r="D10" s="711"/>
      <c r="E10" s="1439">
        <f>SUM(E11+E17+E18+E19)</f>
        <v>0</v>
      </c>
      <c r="F10" s="437">
        <v>1</v>
      </c>
      <c r="G10" s="497"/>
      <c r="I10" s="23"/>
      <c r="J10" s="23"/>
      <c r="K10" s="23"/>
      <c r="L10" s="23"/>
      <c r="M10" s="23"/>
      <c r="N10" s="23"/>
      <c r="O10" s="23"/>
    </row>
    <row r="11" spans="1:15" ht="24.6" customHeight="1" thickTop="1" thickBot="1" x14ac:dyDescent="0.25">
      <c r="A11" s="536"/>
      <c r="B11" s="1431" t="s">
        <v>1361</v>
      </c>
      <c r="C11" s="391">
        <v>2</v>
      </c>
      <c r="D11" s="1441">
        <f>SUM(D12:D15)</f>
        <v>0</v>
      </c>
      <c r="E11" s="1165">
        <f>SUM(E12:E15)</f>
        <v>0</v>
      </c>
      <c r="F11" s="391">
        <v>2</v>
      </c>
      <c r="G11" s="497"/>
      <c r="I11" s="23"/>
      <c r="J11" s="23"/>
      <c r="K11" s="23"/>
      <c r="L11" s="23"/>
      <c r="M11" s="23"/>
      <c r="N11" s="23"/>
      <c r="O11" s="23"/>
    </row>
    <row r="12" spans="1:15" ht="24.6" customHeight="1" thickTop="1" x14ac:dyDescent="0.2">
      <c r="A12" s="536"/>
      <c r="B12" s="1432" t="s">
        <v>1362</v>
      </c>
      <c r="C12" s="391">
        <v>3</v>
      </c>
      <c r="D12" s="1442"/>
      <c r="E12" s="1440"/>
      <c r="F12" s="391">
        <v>3</v>
      </c>
      <c r="G12" s="497"/>
      <c r="I12" s="23"/>
    </row>
    <row r="13" spans="1:15" ht="24.6" customHeight="1" x14ac:dyDescent="0.2">
      <c r="A13" s="536"/>
      <c r="B13" s="1432" t="s">
        <v>1363</v>
      </c>
      <c r="C13" s="391">
        <v>4</v>
      </c>
      <c r="D13" s="1442"/>
      <c r="E13" s="1440"/>
      <c r="F13" s="391">
        <v>4</v>
      </c>
      <c r="G13" s="497"/>
      <c r="I13" s="23"/>
    </row>
    <row r="14" spans="1:15" ht="24.6" customHeight="1" x14ac:dyDescent="0.2">
      <c r="A14" s="536"/>
      <c r="B14" s="1432" t="s">
        <v>1364</v>
      </c>
      <c r="C14" s="391">
        <v>5</v>
      </c>
      <c r="D14" s="1442"/>
      <c r="E14" s="1440"/>
      <c r="F14" s="391">
        <v>5</v>
      </c>
      <c r="G14" s="497"/>
      <c r="I14" s="23"/>
    </row>
    <row r="15" spans="1:15" ht="24.6" customHeight="1" x14ac:dyDescent="0.2">
      <c r="A15" s="536"/>
      <c r="B15" s="1432" t="s">
        <v>1365</v>
      </c>
      <c r="C15" s="391">
        <v>6</v>
      </c>
      <c r="D15" s="1442"/>
      <c r="E15" s="1440"/>
      <c r="F15" s="391">
        <v>6</v>
      </c>
      <c r="G15" s="497"/>
      <c r="I15" s="23"/>
    </row>
    <row r="16" spans="1:15" ht="24.6" customHeight="1" x14ac:dyDescent="0.2">
      <c r="A16" s="536"/>
      <c r="B16" s="1431" t="s">
        <v>1366</v>
      </c>
      <c r="C16" s="391">
        <v>7</v>
      </c>
      <c r="D16" s="1442"/>
      <c r="E16" s="711"/>
      <c r="F16" s="391">
        <v>7</v>
      </c>
      <c r="G16" s="497"/>
      <c r="I16" s="23"/>
    </row>
    <row r="17" spans="1:10" ht="24.6" customHeight="1" x14ac:dyDescent="0.2">
      <c r="A17" s="536"/>
      <c r="B17" s="1431" t="s">
        <v>1367</v>
      </c>
      <c r="C17" s="391">
        <v>8</v>
      </c>
      <c r="D17" s="1442"/>
      <c r="E17" s="1440"/>
      <c r="F17" s="391">
        <v>8</v>
      </c>
      <c r="G17" s="497"/>
      <c r="I17" s="23"/>
    </row>
    <row r="18" spans="1:10" ht="24.6" customHeight="1" x14ac:dyDescent="0.2">
      <c r="A18" s="536"/>
      <c r="B18" s="1431" t="s">
        <v>1368</v>
      </c>
      <c r="C18" s="391">
        <v>9</v>
      </c>
      <c r="D18" s="1442"/>
      <c r="E18" s="1440"/>
      <c r="F18" s="391">
        <v>9</v>
      </c>
      <c r="G18" s="497"/>
      <c r="I18" s="23"/>
    </row>
    <row r="19" spans="1:10" ht="24.6" customHeight="1" x14ac:dyDescent="0.2">
      <c r="A19" s="535"/>
      <c r="B19" s="1433" t="s">
        <v>1369</v>
      </c>
      <c r="C19" s="538">
        <v>10</v>
      </c>
      <c r="D19" s="1443"/>
      <c r="E19" s="1444"/>
      <c r="F19" s="538">
        <v>10</v>
      </c>
      <c r="G19" s="497"/>
      <c r="I19" s="23"/>
    </row>
    <row r="20" spans="1:10" ht="24.6" customHeight="1" thickBot="1" x14ac:dyDescent="0.25">
      <c r="A20" s="537"/>
      <c r="B20" s="1434" t="s">
        <v>1370</v>
      </c>
      <c r="C20" s="437">
        <v>11</v>
      </c>
      <c r="D20" s="711"/>
      <c r="E20" s="1439">
        <f>SUM(E21+E27+E28+E29)</f>
        <v>0</v>
      </c>
      <c r="F20" s="437">
        <v>11</v>
      </c>
      <c r="G20" s="497"/>
      <c r="I20" s="23"/>
    </row>
    <row r="21" spans="1:10" ht="24.6" customHeight="1" thickTop="1" thickBot="1" x14ac:dyDescent="0.25">
      <c r="A21" s="536"/>
      <c r="B21" s="1435" t="s">
        <v>1371</v>
      </c>
      <c r="C21" s="391">
        <v>12</v>
      </c>
      <c r="D21" s="1441">
        <f>SUM(D22:D25)</f>
        <v>0</v>
      </c>
      <c r="E21" s="1165">
        <f>SUM(E22:E25)</f>
        <v>0</v>
      </c>
      <c r="F21" s="391">
        <v>12</v>
      </c>
      <c r="G21" s="497"/>
      <c r="I21" s="23"/>
    </row>
    <row r="22" spans="1:10" ht="24.6" customHeight="1" thickTop="1" x14ac:dyDescent="0.2">
      <c r="A22" s="536"/>
      <c r="B22" s="1436" t="s">
        <v>1362</v>
      </c>
      <c r="C22" s="391">
        <v>13</v>
      </c>
      <c r="D22" s="1442"/>
      <c r="E22" s="1440"/>
      <c r="F22" s="391">
        <v>13</v>
      </c>
      <c r="G22" s="497"/>
      <c r="I22" s="23"/>
    </row>
    <row r="23" spans="1:10" ht="24.6" customHeight="1" x14ac:dyDescent="0.2">
      <c r="A23" s="536"/>
      <c r="B23" s="1436" t="s">
        <v>1363</v>
      </c>
      <c r="C23" s="391">
        <v>14</v>
      </c>
      <c r="D23" s="1442"/>
      <c r="E23" s="1440"/>
      <c r="F23" s="391">
        <v>14</v>
      </c>
      <c r="G23" s="497"/>
      <c r="I23" s="23"/>
    </row>
    <row r="24" spans="1:10" ht="24.6" customHeight="1" x14ac:dyDescent="0.2">
      <c r="A24" s="536"/>
      <c r="B24" s="1436" t="s">
        <v>1364</v>
      </c>
      <c r="C24" s="391">
        <v>15</v>
      </c>
      <c r="D24" s="1442"/>
      <c r="E24" s="1440"/>
      <c r="F24" s="391">
        <v>15</v>
      </c>
      <c r="G24" s="497"/>
      <c r="I24" s="23"/>
    </row>
    <row r="25" spans="1:10" ht="24.6" customHeight="1" x14ac:dyDescent="0.2">
      <c r="A25" s="536"/>
      <c r="B25" s="1436" t="s">
        <v>1365</v>
      </c>
      <c r="C25" s="391">
        <v>16</v>
      </c>
      <c r="D25" s="1442"/>
      <c r="E25" s="1440"/>
      <c r="F25" s="391">
        <v>16</v>
      </c>
      <c r="G25" s="497"/>
      <c r="I25" s="23"/>
    </row>
    <row r="26" spans="1:10" ht="24.6" customHeight="1" x14ac:dyDescent="0.2">
      <c r="A26" s="536"/>
      <c r="B26" s="1437" t="s">
        <v>1366</v>
      </c>
      <c r="C26" s="391">
        <v>17</v>
      </c>
      <c r="D26" s="1442"/>
      <c r="E26" s="711"/>
      <c r="F26" s="391">
        <v>17</v>
      </c>
      <c r="G26" s="528"/>
      <c r="I26" s="24"/>
    </row>
    <row r="27" spans="1:10" ht="25.35" customHeight="1" x14ac:dyDescent="0.2">
      <c r="A27" s="536"/>
      <c r="B27" s="1438" t="s">
        <v>1367</v>
      </c>
      <c r="C27" s="391">
        <v>18</v>
      </c>
      <c r="D27" s="1442"/>
      <c r="E27" s="1440"/>
      <c r="F27" s="391">
        <v>18</v>
      </c>
      <c r="G27" s="497"/>
      <c r="I27" s="23"/>
    </row>
    <row r="28" spans="1:10" ht="25.35" customHeight="1" x14ac:dyDescent="0.2">
      <c r="A28" s="536"/>
      <c r="B28" s="1438" t="s">
        <v>1368</v>
      </c>
      <c r="C28" s="391">
        <v>19</v>
      </c>
      <c r="D28" s="1442"/>
      <c r="E28" s="1440"/>
      <c r="F28" s="391">
        <v>19</v>
      </c>
      <c r="G28" s="497"/>
      <c r="I28" s="23"/>
    </row>
    <row r="29" spans="1:10" ht="24.6" customHeight="1" x14ac:dyDescent="0.2">
      <c r="A29" s="536"/>
      <c r="B29" s="1437" t="s">
        <v>1369</v>
      </c>
      <c r="C29" s="391">
        <v>20</v>
      </c>
      <c r="D29" s="1442"/>
      <c r="E29" s="1440"/>
      <c r="F29" s="391">
        <v>20</v>
      </c>
      <c r="G29" s="528"/>
      <c r="I29" s="24"/>
      <c r="J29" s="9"/>
    </row>
    <row r="30" spans="1:10" ht="7.5" customHeight="1" x14ac:dyDescent="0.2">
      <c r="A30" s="535"/>
      <c r="B30" s="527"/>
      <c r="C30" s="525"/>
      <c r="D30" s="526"/>
      <c r="E30" s="28"/>
      <c r="F30" s="525"/>
      <c r="G30" s="99"/>
      <c r="I30" s="24"/>
      <c r="J30" s="9"/>
    </row>
    <row r="31" spans="1:10" ht="18.75" customHeight="1" x14ac:dyDescent="0.2">
      <c r="A31" s="512"/>
      <c r="B31" s="26" t="str">
        <f>"Version: "&amp;D38</f>
        <v xml:space="preserve">Version: </v>
      </c>
      <c r="C31" s="512"/>
      <c r="D31" s="512"/>
      <c r="E31" s="512"/>
      <c r="F31" s="25" t="s">
        <v>25</v>
      </c>
      <c r="G31" s="512"/>
      <c r="I31" s="23"/>
      <c r="J31" s="9"/>
    </row>
    <row r="32" spans="1:10" ht="18.75" customHeight="1" x14ac:dyDescent="0.2">
      <c r="A32" s="512"/>
      <c r="B32" s="512"/>
      <c r="C32" s="512"/>
      <c r="D32" s="512"/>
      <c r="E32" s="512"/>
      <c r="F32" s="512"/>
      <c r="G32" s="512"/>
      <c r="H32" s="9"/>
      <c r="I32" s="23"/>
    </row>
    <row r="33" spans="2:8" ht="18.75" customHeight="1" x14ac:dyDescent="0.2">
      <c r="B33" s="332"/>
      <c r="H33" s="9"/>
    </row>
    <row r="34" spans="2:8" ht="18.75" customHeight="1" x14ac:dyDescent="0.2"/>
    <row r="35" spans="2:8" ht="18.75" customHeight="1" x14ac:dyDescent="0.2">
      <c r="B35" s="21"/>
      <c r="C35" s="20" t="s">
        <v>24</v>
      </c>
      <c r="D35" s="19"/>
    </row>
    <row r="36" spans="2:8" ht="18.75" customHeight="1" x14ac:dyDescent="0.2">
      <c r="B36" s="15"/>
      <c r="D36" s="14"/>
    </row>
    <row r="37" spans="2:8" ht="18.75" customHeight="1" x14ac:dyDescent="0.2">
      <c r="B37" s="15"/>
      <c r="D37" s="18"/>
    </row>
    <row r="38" spans="2:8" ht="18.75" customHeight="1" x14ac:dyDescent="0.2">
      <c r="B38" s="17"/>
      <c r="D38" s="16"/>
    </row>
    <row r="39" spans="2:8" ht="18.75" customHeight="1" x14ac:dyDescent="0.2">
      <c r="B39" s="15"/>
      <c r="D39" s="14"/>
    </row>
    <row r="40" spans="2:8" ht="18.75" customHeight="1" x14ac:dyDescent="0.2">
      <c r="B40" s="13"/>
      <c r="C40" s="12"/>
      <c r="D40" s="11"/>
    </row>
    <row r="41" spans="2:8" ht="20.85" customHeight="1" x14ac:dyDescent="0.2">
      <c r="B41" s="9"/>
      <c r="C41" s="8"/>
      <c r="D41" s="10"/>
    </row>
    <row r="42" spans="2:8" x14ac:dyDescent="0.2">
      <c r="B42" s="9"/>
      <c r="C42" s="8"/>
      <c r="D42" s="7"/>
    </row>
  </sheetData>
  <printOptions gridLines="1" gridLinesSet="0"/>
  <pageMargins left="0.39370078740157483" right="0.39370078740157483" top="0.39370078740157483" bottom="0.39370078740157483" header="0.19685039370078741" footer="0"/>
  <pageSetup paperSize="9" scale="54" orientation="landscape" r:id="rId1"/>
  <headerFooter alignWithMargins="0">
    <oddFooter>&amp;L&amp;"Arial,Fett"SNB Confidential&amp;C&amp;D&amp;RPage &amp;P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Tabelle26">
    <tabColor rgb="FF00B0F0"/>
    <pageSetUpPr fitToPage="1"/>
  </sheetPr>
  <dimension ref="A1:U105"/>
  <sheetViews>
    <sheetView zoomScale="85" zoomScaleNormal="85" workbookViewId="0">
      <selection activeCell="O4" sqref="O4"/>
    </sheetView>
  </sheetViews>
  <sheetFormatPr defaultColWidth="11.42578125" defaultRowHeight="12.75" x14ac:dyDescent="0.2"/>
  <cols>
    <col min="1" max="1" width="11.5703125" style="1" customWidth="1"/>
    <col min="2" max="2" width="37.42578125" style="1" customWidth="1"/>
    <col min="3" max="3" width="4.5703125" style="1" customWidth="1"/>
    <col min="4" max="20" width="17.5703125" style="1" customWidth="1"/>
    <col min="21" max="21" width="4.5703125" style="1" customWidth="1"/>
    <col min="22" max="16384" width="11.42578125" style="1"/>
  </cols>
  <sheetData>
    <row r="1" spans="1:21" ht="25.35" customHeight="1" x14ac:dyDescent="0.25">
      <c r="A1" s="99"/>
      <c r="B1" s="9"/>
      <c r="C1" s="9"/>
      <c r="D1" s="9"/>
      <c r="E1" s="717" t="s">
        <v>1501</v>
      </c>
      <c r="F1" s="9"/>
      <c r="G1" s="9"/>
      <c r="H1" s="9"/>
      <c r="I1" s="9"/>
      <c r="J1" s="9"/>
      <c r="S1" s="718" t="s">
        <v>100</v>
      </c>
      <c r="T1" s="105" t="s">
        <v>1502</v>
      </c>
      <c r="U1" s="9"/>
    </row>
    <row r="2" spans="1:21" ht="25.35" customHeight="1" x14ac:dyDescent="0.3">
      <c r="A2" s="9"/>
      <c r="B2" s="719"/>
      <c r="C2" s="9"/>
      <c r="D2" s="9"/>
      <c r="E2" s="104" t="s">
        <v>99</v>
      </c>
      <c r="G2" s="720"/>
      <c r="H2" s="719"/>
      <c r="I2" s="719"/>
      <c r="S2" s="718" t="s">
        <v>98</v>
      </c>
      <c r="T2" s="103" t="s">
        <v>119</v>
      </c>
      <c r="U2" s="9"/>
    </row>
    <row r="3" spans="1:21" ht="25.35" customHeight="1" x14ac:dyDescent="0.3">
      <c r="A3" s="9"/>
      <c r="B3" s="719"/>
      <c r="C3" s="9"/>
      <c r="D3" s="9"/>
      <c r="E3" s="1" t="s">
        <v>94</v>
      </c>
      <c r="G3" s="720"/>
      <c r="H3" s="719"/>
      <c r="I3" s="719"/>
      <c r="L3" s="713"/>
      <c r="S3" s="718" t="s">
        <v>96</v>
      </c>
      <c r="T3" s="721" t="s">
        <v>121</v>
      </c>
      <c r="U3" s="9"/>
    </row>
    <row r="4" spans="1:21" ht="25.35" customHeight="1" x14ac:dyDescent="0.3">
      <c r="A4" s="9"/>
      <c r="B4" s="106" t="s">
        <v>2250</v>
      </c>
      <c r="C4" s="9"/>
      <c r="D4" s="9"/>
      <c r="G4" s="720"/>
      <c r="H4" s="719"/>
      <c r="I4" s="719"/>
      <c r="L4" s="713"/>
      <c r="U4" s="9"/>
    </row>
    <row r="5" spans="1:21" ht="25.35" customHeight="1" x14ac:dyDescent="0.2">
      <c r="A5" s="9"/>
      <c r="B5" s="719"/>
      <c r="C5" s="9"/>
      <c r="D5" s="9"/>
      <c r="E5" s="722"/>
      <c r="F5" s="722"/>
      <c r="G5" s="722"/>
      <c r="H5" s="719"/>
      <c r="I5" s="719"/>
      <c r="L5" s="719"/>
      <c r="U5" s="9"/>
    </row>
    <row r="6" spans="1:21" ht="5.85" customHeight="1" x14ac:dyDescent="0.2">
      <c r="A6" s="9"/>
      <c r="B6" s="719"/>
      <c r="C6" s="9"/>
      <c r="D6" s="9"/>
      <c r="E6" s="719"/>
      <c r="F6" s="719"/>
      <c r="G6" s="719"/>
      <c r="H6" s="719"/>
      <c r="I6" s="719"/>
      <c r="J6" s="719"/>
      <c r="K6" s="719"/>
      <c r="L6" s="719"/>
      <c r="U6" s="9"/>
    </row>
    <row r="7" spans="1:21" ht="25.35" customHeight="1" x14ac:dyDescent="0.2">
      <c r="A7" s="12"/>
      <c r="B7" s="719"/>
      <c r="C7" s="12"/>
      <c r="D7" s="9"/>
      <c r="E7" s="723"/>
      <c r="F7" s="723"/>
      <c r="G7" s="723"/>
      <c r="H7" s="719"/>
      <c r="I7" s="719"/>
      <c r="J7" s="719"/>
      <c r="K7" s="719"/>
      <c r="L7" s="719"/>
      <c r="M7" s="9"/>
      <c r="U7" s="12"/>
    </row>
    <row r="8" spans="1:21" ht="42.6" customHeight="1" x14ac:dyDescent="0.25">
      <c r="A8" s="724"/>
      <c r="B8" s="725"/>
      <c r="C8" s="726"/>
      <c r="D8" s="1686" t="s">
        <v>1503</v>
      </c>
      <c r="E8" s="1686"/>
      <c r="F8" s="1686"/>
      <c r="G8" s="1686"/>
      <c r="H8" s="1686"/>
      <c r="I8" s="1686" t="s">
        <v>1504</v>
      </c>
      <c r="J8" s="1686"/>
      <c r="K8" s="1686"/>
      <c r="L8" s="1686"/>
      <c r="M8" s="1686" t="s">
        <v>1505</v>
      </c>
      <c r="N8" s="1686"/>
      <c r="O8" s="1686"/>
      <c r="P8" s="1686"/>
      <c r="Q8" s="1687" t="s">
        <v>1506</v>
      </c>
      <c r="R8" s="1687"/>
      <c r="S8" s="1687"/>
      <c r="T8" s="1687"/>
      <c r="U8" s="88"/>
    </row>
    <row r="9" spans="1:21" ht="50.1" customHeight="1" x14ac:dyDescent="0.25">
      <c r="A9" s="727"/>
      <c r="B9" s="717"/>
      <c r="C9" s="728"/>
      <c r="D9" s="729" t="s">
        <v>1507</v>
      </c>
      <c r="E9" s="729" t="s">
        <v>1508</v>
      </c>
      <c r="F9" s="729" t="s">
        <v>1509</v>
      </c>
      <c r="G9" s="729" t="s">
        <v>1510</v>
      </c>
      <c r="H9" s="730" t="s">
        <v>1511</v>
      </c>
      <c r="I9" s="730" t="s">
        <v>1512</v>
      </c>
      <c r="J9" s="730" t="s">
        <v>1513</v>
      </c>
      <c r="K9" s="730" t="s">
        <v>1498</v>
      </c>
      <c r="L9" s="730" t="s">
        <v>1511</v>
      </c>
      <c r="M9" s="730" t="s">
        <v>1512</v>
      </c>
      <c r="N9" s="730" t="s">
        <v>1513</v>
      </c>
      <c r="O9" s="730" t="s">
        <v>1498</v>
      </c>
      <c r="P9" s="730" t="s">
        <v>1511</v>
      </c>
      <c r="Q9" s="730" t="s">
        <v>1512</v>
      </c>
      <c r="R9" s="730" t="s">
        <v>1513</v>
      </c>
      <c r="S9" s="730" t="s">
        <v>1498</v>
      </c>
      <c r="T9" s="730" t="s">
        <v>1511</v>
      </c>
      <c r="U9" s="62"/>
    </row>
    <row r="10" spans="1:21" ht="25.35" customHeight="1" x14ac:dyDescent="0.25">
      <c r="A10" s="727"/>
      <c r="B10" s="731"/>
      <c r="C10" s="62"/>
      <c r="D10" s="191" t="s">
        <v>22</v>
      </c>
      <c r="E10" s="191" t="s">
        <v>21</v>
      </c>
      <c r="F10" s="191" t="s">
        <v>20</v>
      </c>
      <c r="G10" s="191" t="s">
        <v>19</v>
      </c>
      <c r="H10" s="191" t="s">
        <v>18</v>
      </c>
      <c r="I10" s="191" t="s">
        <v>17</v>
      </c>
      <c r="J10" s="191" t="s">
        <v>16</v>
      </c>
      <c r="K10" s="191" t="s">
        <v>15</v>
      </c>
      <c r="L10" s="191" t="s">
        <v>14</v>
      </c>
      <c r="M10" s="191" t="s">
        <v>13</v>
      </c>
      <c r="N10" s="191" t="s">
        <v>12</v>
      </c>
      <c r="O10" s="191" t="s">
        <v>11</v>
      </c>
      <c r="P10" s="191" t="s">
        <v>10</v>
      </c>
      <c r="Q10" s="191" t="s">
        <v>9</v>
      </c>
      <c r="R10" s="191" t="s">
        <v>8</v>
      </c>
      <c r="S10" s="191" t="s">
        <v>7</v>
      </c>
      <c r="T10" s="191" t="s">
        <v>6</v>
      </c>
      <c r="U10" s="58"/>
    </row>
    <row r="11" spans="1:21" ht="50.1" customHeight="1" thickBot="1" x14ac:dyDescent="0.25">
      <c r="A11" s="732" t="s">
        <v>1514</v>
      </c>
      <c r="B11" s="733" t="s">
        <v>1515</v>
      </c>
      <c r="C11" s="31">
        <v>1</v>
      </c>
      <c r="D11" s="32">
        <f t="shared" ref="D11:T11" si="0">SUM(D12,D21)</f>
        <v>38467000</v>
      </c>
      <c r="E11" s="32">
        <f t="shared" si="0"/>
        <v>7832000</v>
      </c>
      <c r="F11" s="32">
        <f t="shared" si="0"/>
        <v>1060000</v>
      </c>
      <c r="G11" s="32">
        <f t="shared" si="0"/>
        <v>635000</v>
      </c>
      <c r="H11" s="32">
        <f t="shared" si="0"/>
        <v>58000</v>
      </c>
      <c r="I11" s="32">
        <f t="shared" si="0"/>
        <v>40755000</v>
      </c>
      <c r="J11" s="32">
        <f t="shared" si="0"/>
        <v>723000</v>
      </c>
      <c r="K11" s="32">
        <f t="shared" si="0"/>
        <v>6572000</v>
      </c>
      <c r="L11" s="32">
        <f t="shared" si="0"/>
        <v>0</v>
      </c>
      <c r="M11" s="32">
        <f t="shared" si="0"/>
        <v>7826000</v>
      </c>
      <c r="N11" s="32">
        <f t="shared" si="0"/>
        <v>914000</v>
      </c>
      <c r="O11" s="32">
        <f t="shared" si="0"/>
        <v>1795000</v>
      </c>
      <c r="P11" s="32">
        <f t="shared" si="0"/>
        <v>0</v>
      </c>
      <c r="Q11" s="32">
        <f t="shared" si="0"/>
        <v>626000</v>
      </c>
      <c r="R11" s="32">
        <f t="shared" si="0"/>
        <v>73000</v>
      </c>
      <c r="S11" s="32">
        <f t="shared" si="0"/>
        <v>143000</v>
      </c>
      <c r="T11" s="32">
        <f t="shared" si="0"/>
        <v>0</v>
      </c>
      <c r="U11" s="31">
        <v>1</v>
      </c>
    </row>
    <row r="12" spans="1:21" s="713" customFormat="1" ht="37.5" customHeight="1" thickTop="1" thickBot="1" x14ac:dyDescent="0.25">
      <c r="A12" s="734">
        <v>1.1000000000000001</v>
      </c>
      <c r="B12" s="735" t="s">
        <v>1516</v>
      </c>
      <c r="C12" s="31">
        <v>2</v>
      </c>
      <c r="D12" s="32">
        <f t="shared" ref="D12:T12" si="1">SUM(D13,D18)</f>
        <v>5136000</v>
      </c>
      <c r="E12" s="32">
        <f t="shared" si="1"/>
        <v>1760000</v>
      </c>
      <c r="F12" s="32">
        <f t="shared" si="1"/>
        <v>993000</v>
      </c>
      <c r="G12" s="32">
        <f t="shared" si="1"/>
        <v>587000</v>
      </c>
      <c r="H12" s="32">
        <f t="shared" si="1"/>
        <v>35000</v>
      </c>
      <c r="I12" s="32">
        <f t="shared" si="1"/>
        <v>1396000</v>
      </c>
      <c r="J12" s="32">
        <f t="shared" si="1"/>
        <v>723000</v>
      </c>
      <c r="K12" s="32">
        <f t="shared" si="1"/>
        <v>6390000</v>
      </c>
      <c r="L12" s="32">
        <f t="shared" si="1"/>
        <v>0</v>
      </c>
      <c r="M12" s="32">
        <f t="shared" si="1"/>
        <v>382000</v>
      </c>
      <c r="N12" s="32">
        <f t="shared" si="1"/>
        <v>914000</v>
      </c>
      <c r="O12" s="32">
        <f t="shared" si="1"/>
        <v>1726000</v>
      </c>
      <c r="P12" s="32">
        <f t="shared" si="1"/>
        <v>0</v>
      </c>
      <c r="Q12" s="32">
        <f t="shared" si="1"/>
        <v>31000</v>
      </c>
      <c r="R12" s="32">
        <f t="shared" si="1"/>
        <v>73000</v>
      </c>
      <c r="S12" s="32">
        <f t="shared" si="1"/>
        <v>137000</v>
      </c>
      <c r="T12" s="32">
        <f t="shared" si="1"/>
        <v>0</v>
      </c>
      <c r="U12" s="31">
        <v>2</v>
      </c>
    </row>
    <row r="13" spans="1:21" s="713" customFormat="1" ht="25.35" customHeight="1" thickTop="1" thickBot="1" x14ac:dyDescent="0.25">
      <c r="A13" s="734" t="s">
        <v>1517</v>
      </c>
      <c r="B13" s="736" t="s">
        <v>1518</v>
      </c>
      <c r="C13" s="933"/>
      <c r="D13" s="32">
        <f t="shared" ref="D13:T13" si="2">SUM(D14,D16)</f>
        <v>5136000</v>
      </c>
      <c r="E13" s="32">
        <f t="shared" si="2"/>
        <v>1760000</v>
      </c>
      <c r="F13" s="32">
        <f t="shared" si="2"/>
        <v>993000</v>
      </c>
      <c r="G13" s="32">
        <f t="shared" si="2"/>
        <v>587000</v>
      </c>
      <c r="H13" s="32">
        <f t="shared" si="2"/>
        <v>17000</v>
      </c>
      <c r="I13" s="32">
        <f t="shared" si="2"/>
        <v>1396000</v>
      </c>
      <c r="J13" s="32">
        <f t="shared" si="2"/>
        <v>723000</v>
      </c>
      <c r="K13" s="32">
        <f t="shared" si="2"/>
        <v>6372000</v>
      </c>
      <c r="L13" s="32">
        <f t="shared" si="2"/>
        <v>0</v>
      </c>
      <c r="M13" s="32">
        <f t="shared" si="2"/>
        <v>382000</v>
      </c>
      <c r="N13" s="32">
        <f t="shared" si="2"/>
        <v>914000</v>
      </c>
      <c r="O13" s="32">
        <f t="shared" si="2"/>
        <v>1493000</v>
      </c>
      <c r="P13" s="32">
        <f t="shared" si="2"/>
        <v>0</v>
      </c>
      <c r="Q13" s="32">
        <f t="shared" si="2"/>
        <v>31000</v>
      </c>
      <c r="R13" s="32">
        <f t="shared" si="2"/>
        <v>73000</v>
      </c>
      <c r="S13" s="32">
        <f t="shared" si="2"/>
        <v>119000</v>
      </c>
      <c r="T13" s="32">
        <f t="shared" si="2"/>
        <v>0</v>
      </c>
      <c r="U13" s="933"/>
    </row>
    <row r="14" spans="1:21" s="713" customFormat="1" ht="25.35" customHeight="1" thickTop="1" x14ac:dyDescent="0.2">
      <c r="A14" s="734" t="s">
        <v>361</v>
      </c>
      <c r="B14" s="737" t="s">
        <v>1519</v>
      </c>
      <c r="C14" s="31">
        <v>4</v>
      </c>
      <c r="D14" s="33">
        <v>2565000</v>
      </c>
      <c r="E14" s="33">
        <v>533000</v>
      </c>
      <c r="F14" s="33">
        <v>282000</v>
      </c>
      <c r="G14" s="33">
        <v>16000</v>
      </c>
      <c r="H14" s="33">
        <v>12000</v>
      </c>
      <c r="I14" s="33">
        <v>0</v>
      </c>
      <c r="J14" s="33">
        <v>494000</v>
      </c>
      <c r="K14" s="33">
        <v>2913000</v>
      </c>
      <c r="L14" s="33">
        <v>0</v>
      </c>
      <c r="M14" s="33">
        <v>0</v>
      </c>
      <c r="N14" s="33">
        <v>418000</v>
      </c>
      <c r="O14" s="33">
        <v>575000</v>
      </c>
      <c r="P14" s="33">
        <v>0</v>
      </c>
      <c r="Q14" s="33">
        <v>0</v>
      </c>
      <c r="R14" s="33">
        <v>33000</v>
      </c>
      <c r="S14" s="33">
        <v>46000</v>
      </c>
      <c r="T14" s="33"/>
      <c r="U14" s="31">
        <v>4</v>
      </c>
    </row>
    <row r="15" spans="1:21" s="713" customFormat="1" ht="25.35" customHeight="1" x14ac:dyDescent="0.2">
      <c r="A15" s="734" t="s">
        <v>1520</v>
      </c>
      <c r="B15" s="738" t="s">
        <v>1521</v>
      </c>
      <c r="C15" s="31">
        <v>5</v>
      </c>
      <c r="D15" s="33">
        <v>0</v>
      </c>
      <c r="E15" s="33">
        <v>0</v>
      </c>
      <c r="F15" s="33">
        <v>0</v>
      </c>
      <c r="G15" s="33">
        <v>0</v>
      </c>
      <c r="H15" s="33">
        <v>0</v>
      </c>
      <c r="I15" s="33">
        <v>0</v>
      </c>
      <c r="J15" s="33">
        <v>0</v>
      </c>
      <c r="K15" s="33">
        <v>0</v>
      </c>
      <c r="L15" s="33">
        <v>0</v>
      </c>
      <c r="M15" s="33">
        <v>0</v>
      </c>
      <c r="N15" s="33">
        <v>0</v>
      </c>
      <c r="O15" s="33">
        <v>0</v>
      </c>
      <c r="P15" s="33">
        <v>0</v>
      </c>
      <c r="Q15" s="33">
        <v>0</v>
      </c>
      <c r="R15" s="33">
        <v>0</v>
      </c>
      <c r="S15" s="33">
        <v>0</v>
      </c>
      <c r="T15" s="33"/>
      <c r="U15" s="31">
        <v>5</v>
      </c>
    </row>
    <row r="16" spans="1:21" s="713" customFormat="1" ht="25.35" customHeight="1" x14ac:dyDescent="0.2">
      <c r="A16" s="734" t="s">
        <v>1522</v>
      </c>
      <c r="B16" s="737" t="s">
        <v>1523</v>
      </c>
      <c r="C16" s="31">
        <v>6</v>
      </c>
      <c r="D16" s="33">
        <v>2571000</v>
      </c>
      <c r="E16" s="33">
        <v>1227000</v>
      </c>
      <c r="F16" s="33">
        <v>711000</v>
      </c>
      <c r="G16" s="33">
        <v>571000</v>
      </c>
      <c r="H16" s="33">
        <v>5000</v>
      </c>
      <c r="I16" s="33">
        <v>1396000</v>
      </c>
      <c r="J16" s="33">
        <v>229000</v>
      </c>
      <c r="K16" s="33">
        <v>3459000</v>
      </c>
      <c r="L16" s="33">
        <v>0</v>
      </c>
      <c r="M16" s="33">
        <v>382000</v>
      </c>
      <c r="N16" s="33">
        <v>496000</v>
      </c>
      <c r="O16" s="33">
        <v>918000</v>
      </c>
      <c r="P16" s="33">
        <v>0</v>
      </c>
      <c r="Q16" s="33">
        <v>31000</v>
      </c>
      <c r="R16" s="33">
        <v>40000</v>
      </c>
      <c r="S16" s="33">
        <v>73000</v>
      </c>
      <c r="T16" s="33"/>
      <c r="U16" s="31">
        <v>6</v>
      </c>
    </row>
    <row r="17" spans="1:21" s="713" customFormat="1" ht="25.35" customHeight="1" x14ac:dyDescent="0.2">
      <c r="A17" s="734" t="s">
        <v>1524</v>
      </c>
      <c r="B17" s="738" t="s">
        <v>1521</v>
      </c>
      <c r="C17" s="31">
        <v>7</v>
      </c>
      <c r="D17" s="33"/>
      <c r="E17" s="33"/>
      <c r="F17" s="33"/>
      <c r="G17" s="33"/>
      <c r="H17" s="33"/>
      <c r="I17" s="33"/>
      <c r="J17" s="33"/>
      <c r="K17" s="33"/>
      <c r="L17" s="33"/>
      <c r="M17" s="33"/>
      <c r="N17" s="33"/>
      <c r="O17" s="33"/>
      <c r="P17" s="33"/>
      <c r="Q17" s="33"/>
      <c r="R17" s="33"/>
      <c r="S17" s="33"/>
      <c r="T17" s="33"/>
      <c r="U17" s="31">
        <v>7</v>
      </c>
    </row>
    <row r="18" spans="1:21" s="713" customFormat="1" ht="25.35" customHeight="1" thickBot="1" x14ac:dyDescent="0.25">
      <c r="A18" s="734" t="s">
        <v>1525</v>
      </c>
      <c r="B18" s="736" t="s">
        <v>1526</v>
      </c>
      <c r="C18" s="933"/>
      <c r="D18" s="32">
        <f t="shared" ref="D18:T18" si="3">SUM(D19:D20)</f>
        <v>0</v>
      </c>
      <c r="E18" s="32">
        <f t="shared" si="3"/>
        <v>0</v>
      </c>
      <c r="F18" s="32">
        <f t="shared" si="3"/>
        <v>0</v>
      </c>
      <c r="G18" s="32">
        <f t="shared" si="3"/>
        <v>0</v>
      </c>
      <c r="H18" s="32">
        <f t="shared" si="3"/>
        <v>18000</v>
      </c>
      <c r="I18" s="32">
        <f t="shared" si="3"/>
        <v>0</v>
      </c>
      <c r="J18" s="32">
        <f t="shared" si="3"/>
        <v>0</v>
      </c>
      <c r="K18" s="32">
        <f t="shared" si="3"/>
        <v>18000</v>
      </c>
      <c r="L18" s="32">
        <f t="shared" si="3"/>
        <v>0</v>
      </c>
      <c r="M18" s="32">
        <f t="shared" si="3"/>
        <v>0</v>
      </c>
      <c r="N18" s="32">
        <f t="shared" si="3"/>
        <v>0</v>
      </c>
      <c r="O18" s="32">
        <f t="shared" si="3"/>
        <v>233000</v>
      </c>
      <c r="P18" s="32">
        <f t="shared" si="3"/>
        <v>0</v>
      </c>
      <c r="Q18" s="32">
        <f t="shared" si="3"/>
        <v>0</v>
      </c>
      <c r="R18" s="32">
        <f t="shared" si="3"/>
        <v>0</v>
      </c>
      <c r="S18" s="32">
        <f t="shared" si="3"/>
        <v>18000</v>
      </c>
      <c r="T18" s="32">
        <f t="shared" si="3"/>
        <v>0</v>
      </c>
      <c r="U18" s="933"/>
    </row>
    <row r="19" spans="1:21" s="713" customFormat="1" ht="25.35" customHeight="1" thickTop="1" x14ac:dyDescent="0.2">
      <c r="A19" s="734" t="s">
        <v>508</v>
      </c>
      <c r="B19" s="739" t="s">
        <v>1527</v>
      </c>
      <c r="C19" s="31">
        <v>9</v>
      </c>
      <c r="D19" s="33">
        <v>0</v>
      </c>
      <c r="E19" s="33">
        <v>0</v>
      </c>
      <c r="F19" s="33">
        <v>0</v>
      </c>
      <c r="G19" s="33">
        <v>0</v>
      </c>
      <c r="H19" s="33">
        <v>15000</v>
      </c>
      <c r="I19" s="33">
        <v>0</v>
      </c>
      <c r="J19" s="33">
        <v>0</v>
      </c>
      <c r="K19" s="33">
        <v>15000</v>
      </c>
      <c r="L19" s="33">
        <v>0</v>
      </c>
      <c r="M19" s="33">
        <v>0</v>
      </c>
      <c r="N19" s="33">
        <v>0</v>
      </c>
      <c r="O19" s="33">
        <v>191000</v>
      </c>
      <c r="P19" s="33">
        <v>0</v>
      </c>
      <c r="Q19" s="33">
        <v>0</v>
      </c>
      <c r="R19" s="33">
        <v>0</v>
      </c>
      <c r="S19" s="33">
        <v>15000</v>
      </c>
      <c r="T19" s="33">
        <v>0</v>
      </c>
      <c r="U19" s="31">
        <v>9</v>
      </c>
    </row>
    <row r="20" spans="1:21" s="713" customFormat="1" ht="25.35" customHeight="1" x14ac:dyDescent="0.2">
      <c r="A20" s="734" t="s">
        <v>510</v>
      </c>
      <c r="B20" s="739" t="s">
        <v>1528</v>
      </c>
      <c r="C20" s="31">
        <v>10</v>
      </c>
      <c r="D20" s="33">
        <v>0</v>
      </c>
      <c r="E20" s="33">
        <v>0</v>
      </c>
      <c r="F20" s="33">
        <v>0</v>
      </c>
      <c r="G20" s="33">
        <v>0</v>
      </c>
      <c r="H20" s="33">
        <v>3000</v>
      </c>
      <c r="I20" s="33">
        <v>0</v>
      </c>
      <c r="J20" s="33">
        <v>0</v>
      </c>
      <c r="K20" s="33">
        <v>3000</v>
      </c>
      <c r="L20" s="33">
        <v>0</v>
      </c>
      <c r="M20" s="33">
        <v>0</v>
      </c>
      <c r="N20" s="33">
        <v>0</v>
      </c>
      <c r="O20" s="33">
        <v>42000</v>
      </c>
      <c r="P20" s="33">
        <v>0</v>
      </c>
      <c r="Q20" s="33">
        <v>0</v>
      </c>
      <c r="R20" s="33">
        <v>0</v>
      </c>
      <c r="S20" s="33">
        <v>3000</v>
      </c>
      <c r="T20" s="33">
        <v>0</v>
      </c>
      <c r="U20" s="31">
        <v>10</v>
      </c>
    </row>
    <row r="21" spans="1:21" s="713" customFormat="1" ht="37.5" customHeight="1" thickBot="1" x14ac:dyDescent="0.25">
      <c r="A21" s="734" t="s">
        <v>199</v>
      </c>
      <c r="B21" s="735" t="s">
        <v>1529</v>
      </c>
      <c r="C21" s="31">
        <v>11</v>
      </c>
      <c r="D21" s="32">
        <f t="shared" ref="D21:T21" si="4">SUM(D22,D25)</f>
        <v>33331000</v>
      </c>
      <c r="E21" s="32">
        <f t="shared" si="4"/>
        <v>6072000</v>
      </c>
      <c r="F21" s="32">
        <f t="shared" si="4"/>
        <v>67000</v>
      </c>
      <c r="G21" s="32">
        <f t="shared" si="4"/>
        <v>48000</v>
      </c>
      <c r="H21" s="32">
        <f t="shared" si="4"/>
        <v>23000</v>
      </c>
      <c r="I21" s="32">
        <f t="shared" si="4"/>
        <v>39359000</v>
      </c>
      <c r="J21" s="32">
        <f t="shared" si="4"/>
        <v>0</v>
      </c>
      <c r="K21" s="32">
        <f t="shared" si="4"/>
        <v>182000</v>
      </c>
      <c r="L21" s="32">
        <f t="shared" si="4"/>
        <v>0</v>
      </c>
      <c r="M21" s="32">
        <f t="shared" si="4"/>
        <v>7444000</v>
      </c>
      <c r="N21" s="32">
        <f t="shared" si="4"/>
        <v>0</v>
      </c>
      <c r="O21" s="32">
        <f t="shared" si="4"/>
        <v>69000</v>
      </c>
      <c r="P21" s="32">
        <f t="shared" si="4"/>
        <v>0</v>
      </c>
      <c r="Q21" s="32">
        <f t="shared" si="4"/>
        <v>595000</v>
      </c>
      <c r="R21" s="32">
        <f t="shared" si="4"/>
        <v>0</v>
      </c>
      <c r="S21" s="32">
        <f t="shared" si="4"/>
        <v>6000</v>
      </c>
      <c r="T21" s="32">
        <f t="shared" si="4"/>
        <v>0</v>
      </c>
      <c r="U21" s="31">
        <v>11</v>
      </c>
    </row>
    <row r="22" spans="1:21" s="713" customFormat="1" ht="25.35" customHeight="1" thickTop="1" thickBot="1" x14ac:dyDescent="0.25">
      <c r="A22" s="734" t="s">
        <v>554</v>
      </c>
      <c r="B22" s="736" t="s">
        <v>1518</v>
      </c>
      <c r="C22" s="933"/>
      <c r="D22" s="32">
        <f t="shared" ref="D22:T22" si="5">SUM(D23:D24)</f>
        <v>33331000</v>
      </c>
      <c r="E22" s="32">
        <f t="shared" si="5"/>
        <v>6072000</v>
      </c>
      <c r="F22" s="32">
        <f t="shared" si="5"/>
        <v>67000</v>
      </c>
      <c r="G22" s="32">
        <f t="shared" si="5"/>
        <v>48000</v>
      </c>
      <c r="H22" s="32">
        <f t="shared" si="5"/>
        <v>23000</v>
      </c>
      <c r="I22" s="32">
        <f t="shared" si="5"/>
        <v>39359000</v>
      </c>
      <c r="J22" s="32">
        <f t="shared" si="5"/>
        <v>0</v>
      </c>
      <c r="K22" s="32">
        <f t="shared" si="5"/>
        <v>182000</v>
      </c>
      <c r="L22" s="32">
        <f t="shared" si="5"/>
        <v>0</v>
      </c>
      <c r="M22" s="32">
        <f t="shared" si="5"/>
        <v>7444000</v>
      </c>
      <c r="N22" s="32">
        <f t="shared" si="5"/>
        <v>0</v>
      </c>
      <c r="O22" s="32">
        <f t="shared" si="5"/>
        <v>69000</v>
      </c>
      <c r="P22" s="32">
        <f t="shared" si="5"/>
        <v>0</v>
      </c>
      <c r="Q22" s="32">
        <f t="shared" si="5"/>
        <v>595000</v>
      </c>
      <c r="R22" s="32">
        <f t="shared" si="5"/>
        <v>0</v>
      </c>
      <c r="S22" s="32">
        <f t="shared" si="5"/>
        <v>6000</v>
      </c>
      <c r="T22" s="32">
        <f t="shared" si="5"/>
        <v>0</v>
      </c>
      <c r="U22" s="933"/>
    </row>
    <row r="23" spans="1:21" s="713" customFormat="1" ht="25.35" customHeight="1" thickTop="1" x14ac:dyDescent="0.2">
      <c r="A23" s="734" t="s">
        <v>557</v>
      </c>
      <c r="B23" s="737" t="s">
        <v>1519</v>
      </c>
      <c r="C23" s="31">
        <v>13</v>
      </c>
      <c r="D23" s="33">
        <v>1444000</v>
      </c>
      <c r="E23" s="33">
        <v>132000</v>
      </c>
      <c r="F23" s="33">
        <v>0</v>
      </c>
      <c r="G23" s="33">
        <v>4000</v>
      </c>
      <c r="H23" s="33">
        <v>4000</v>
      </c>
      <c r="I23" s="33">
        <v>1584000</v>
      </c>
      <c r="J23" s="33">
        <v>0</v>
      </c>
      <c r="K23" s="33">
        <v>0</v>
      </c>
      <c r="L23" s="33">
        <v>0</v>
      </c>
      <c r="M23" s="33">
        <v>381000</v>
      </c>
      <c r="N23" s="33">
        <v>0</v>
      </c>
      <c r="O23" s="33">
        <v>0</v>
      </c>
      <c r="P23" s="33">
        <v>0</v>
      </c>
      <c r="Q23" s="33">
        <v>30000</v>
      </c>
      <c r="R23" s="33">
        <v>0</v>
      </c>
      <c r="S23" s="33">
        <v>0</v>
      </c>
      <c r="T23" s="33"/>
      <c r="U23" s="31">
        <v>13</v>
      </c>
    </row>
    <row r="24" spans="1:21" s="713" customFormat="1" ht="25.35" customHeight="1" x14ac:dyDescent="0.2">
      <c r="A24" s="734" t="s">
        <v>1530</v>
      </c>
      <c r="B24" s="737" t="s">
        <v>1523</v>
      </c>
      <c r="C24" s="31">
        <v>14</v>
      </c>
      <c r="D24" s="33">
        <v>31887000</v>
      </c>
      <c r="E24" s="33">
        <v>5940000</v>
      </c>
      <c r="F24" s="33">
        <v>67000</v>
      </c>
      <c r="G24" s="33">
        <v>44000</v>
      </c>
      <c r="H24" s="33">
        <v>19000</v>
      </c>
      <c r="I24" s="33">
        <v>37775000</v>
      </c>
      <c r="J24" s="33">
        <v>0</v>
      </c>
      <c r="K24" s="33">
        <v>182000</v>
      </c>
      <c r="L24" s="33">
        <v>0</v>
      </c>
      <c r="M24" s="33">
        <v>7063000</v>
      </c>
      <c r="N24" s="33">
        <v>0</v>
      </c>
      <c r="O24" s="33">
        <v>69000</v>
      </c>
      <c r="P24" s="33">
        <v>0</v>
      </c>
      <c r="Q24" s="33">
        <v>565000</v>
      </c>
      <c r="R24" s="33">
        <v>0</v>
      </c>
      <c r="S24" s="33">
        <v>6000</v>
      </c>
      <c r="T24" s="33"/>
      <c r="U24" s="31">
        <v>14</v>
      </c>
    </row>
    <row r="25" spans="1:21" s="713" customFormat="1" ht="25.35" customHeight="1" thickBot="1" x14ac:dyDescent="0.25">
      <c r="A25" s="734" t="s">
        <v>559</v>
      </c>
      <c r="B25" s="736" t="s">
        <v>1526</v>
      </c>
      <c r="C25" s="933"/>
      <c r="D25" s="32">
        <f t="shared" ref="D25:T25" si="6">SUM(D26:D27)</f>
        <v>0</v>
      </c>
      <c r="E25" s="32">
        <f t="shared" si="6"/>
        <v>0</v>
      </c>
      <c r="F25" s="32">
        <f t="shared" si="6"/>
        <v>0</v>
      </c>
      <c r="G25" s="32">
        <f t="shared" si="6"/>
        <v>0</v>
      </c>
      <c r="H25" s="32">
        <f t="shared" si="6"/>
        <v>0</v>
      </c>
      <c r="I25" s="32">
        <f t="shared" si="6"/>
        <v>0</v>
      </c>
      <c r="J25" s="32">
        <f t="shared" si="6"/>
        <v>0</v>
      </c>
      <c r="K25" s="32">
        <f t="shared" si="6"/>
        <v>0</v>
      </c>
      <c r="L25" s="32">
        <f t="shared" si="6"/>
        <v>0</v>
      </c>
      <c r="M25" s="32">
        <f t="shared" si="6"/>
        <v>0</v>
      </c>
      <c r="N25" s="32">
        <f t="shared" si="6"/>
        <v>0</v>
      </c>
      <c r="O25" s="32">
        <f t="shared" si="6"/>
        <v>0</v>
      </c>
      <c r="P25" s="32">
        <f t="shared" si="6"/>
        <v>0</v>
      </c>
      <c r="Q25" s="32">
        <f t="shared" si="6"/>
        <v>0</v>
      </c>
      <c r="R25" s="32">
        <f t="shared" si="6"/>
        <v>0</v>
      </c>
      <c r="S25" s="32">
        <f t="shared" si="6"/>
        <v>0</v>
      </c>
      <c r="T25" s="32">
        <f t="shared" si="6"/>
        <v>0</v>
      </c>
      <c r="U25" s="933"/>
    </row>
    <row r="26" spans="1:21" s="713" customFormat="1" ht="25.35" customHeight="1" thickTop="1" x14ac:dyDescent="0.2">
      <c r="A26" s="734" t="s">
        <v>1531</v>
      </c>
      <c r="B26" s="739" t="s">
        <v>1527</v>
      </c>
      <c r="C26" s="31">
        <v>16</v>
      </c>
      <c r="D26" s="33"/>
      <c r="E26" s="33"/>
      <c r="F26" s="33"/>
      <c r="G26" s="33"/>
      <c r="H26" s="33"/>
      <c r="I26" s="33"/>
      <c r="J26" s="33"/>
      <c r="K26" s="33"/>
      <c r="L26" s="33"/>
      <c r="M26" s="33"/>
      <c r="N26" s="33"/>
      <c r="O26" s="33"/>
      <c r="P26" s="33"/>
      <c r="Q26" s="33"/>
      <c r="R26" s="33"/>
      <c r="S26" s="33"/>
      <c r="T26" s="33"/>
      <c r="U26" s="31">
        <v>16</v>
      </c>
    </row>
    <row r="27" spans="1:21" s="713" customFormat="1" ht="25.35" customHeight="1" x14ac:dyDescent="0.2">
      <c r="A27" s="734" t="s">
        <v>1532</v>
      </c>
      <c r="B27" s="739" t="s">
        <v>1528</v>
      </c>
      <c r="C27" s="31">
        <v>17</v>
      </c>
      <c r="D27" s="33"/>
      <c r="E27" s="33"/>
      <c r="F27" s="33"/>
      <c r="G27" s="33"/>
      <c r="H27" s="33"/>
      <c r="I27" s="33"/>
      <c r="J27" s="33"/>
      <c r="K27" s="33"/>
      <c r="L27" s="33"/>
      <c r="M27" s="33"/>
      <c r="N27" s="33"/>
      <c r="O27" s="33"/>
      <c r="P27" s="33"/>
      <c r="Q27" s="33"/>
      <c r="R27" s="33"/>
      <c r="S27" s="33"/>
      <c r="T27" s="33"/>
      <c r="U27" s="31">
        <v>17</v>
      </c>
    </row>
    <row r="28" spans="1:21" s="713" customFormat="1" ht="50.1" customHeight="1" thickBot="1" x14ac:dyDescent="0.25">
      <c r="A28" s="740" t="s">
        <v>1533</v>
      </c>
      <c r="B28" s="741" t="s">
        <v>1534</v>
      </c>
      <c r="C28" s="31">
        <v>18</v>
      </c>
      <c r="D28" s="32">
        <f t="shared" ref="D28:T28" si="7">SUM(D29,D38)</f>
        <v>8575000</v>
      </c>
      <c r="E28" s="32">
        <f t="shared" si="7"/>
        <v>2939000</v>
      </c>
      <c r="F28" s="32">
        <f t="shared" si="7"/>
        <v>788000</v>
      </c>
      <c r="G28" s="32">
        <f t="shared" si="7"/>
        <v>143000</v>
      </c>
      <c r="H28" s="32">
        <f t="shared" si="7"/>
        <v>1000</v>
      </c>
      <c r="I28" s="32">
        <f t="shared" si="7"/>
        <v>2172000</v>
      </c>
      <c r="J28" s="32">
        <f t="shared" si="7"/>
        <v>978000</v>
      </c>
      <c r="K28" s="32">
        <f t="shared" si="7"/>
        <v>9296000</v>
      </c>
      <c r="L28" s="32">
        <f t="shared" si="7"/>
        <v>0</v>
      </c>
      <c r="M28" s="32">
        <f t="shared" si="7"/>
        <v>326000</v>
      </c>
      <c r="N28" s="32">
        <f t="shared" si="7"/>
        <v>443000</v>
      </c>
      <c r="O28" s="32">
        <f t="shared" si="7"/>
        <v>2181000</v>
      </c>
      <c r="P28" s="32">
        <f t="shared" si="7"/>
        <v>0</v>
      </c>
      <c r="Q28" s="32">
        <f t="shared" si="7"/>
        <v>26000</v>
      </c>
      <c r="R28" s="32">
        <f t="shared" si="7"/>
        <v>36000</v>
      </c>
      <c r="S28" s="32">
        <f t="shared" si="7"/>
        <v>176000</v>
      </c>
      <c r="T28" s="32">
        <f t="shared" si="7"/>
        <v>0</v>
      </c>
      <c r="U28" s="31">
        <v>18</v>
      </c>
    </row>
    <row r="29" spans="1:21" s="713" customFormat="1" ht="37.5" customHeight="1" thickTop="1" thickBot="1" x14ac:dyDescent="0.25">
      <c r="A29" s="734" t="s">
        <v>1308</v>
      </c>
      <c r="B29" s="735" t="s">
        <v>1516</v>
      </c>
      <c r="C29" s="31">
        <v>19</v>
      </c>
      <c r="D29" s="32">
        <f t="shared" ref="D29:T29" si="8">SUM(D30,D35)</f>
        <v>8344000</v>
      </c>
      <c r="E29" s="32">
        <f t="shared" si="8"/>
        <v>2711000</v>
      </c>
      <c r="F29" s="32">
        <f t="shared" si="8"/>
        <v>706000</v>
      </c>
      <c r="G29" s="32">
        <f t="shared" si="8"/>
        <v>132000</v>
      </c>
      <c r="H29" s="32">
        <f t="shared" si="8"/>
        <v>0</v>
      </c>
      <c r="I29" s="32">
        <f t="shared" si="8"/>
        <v>2172000</v>
      </c>
      <c r="J29" s="32">
        <f t="shared" si="8"/>
        <v>659000</v>
      </c>
      <c r="K29" s="32">
        <f t="shared" si="8"/>
        <v>9061000</v>
      </c>
      <c r="L29" s="32">
        <f t="shared" si="8"/>
        <v>0</v>
      </c>
      <c r="M29" s="32">
        <f t="shared" si="8"/>
        <v>326000</v>
      </c>
      <c r="N29" s="32">
        <f t="shared" si="8"/>
        <v>291000</v>
      </c>
      <c r="O29" s="32">
        <f t="shared" si="8"/>
        <v>2125000</v>
      </c>
      <c r="P29" s="32">
        <f t="shared" si="8"/>
        <v>0</v>
      </c>
      <c r="Q29" s="32">
        <f t="shared" si="8"/>
        <v>26000</v>
      </c>
      <c r="R29" s="32">
        <f t="shared" si="8"/>
        <v>24000</v>
      </c>
      <c r="S29" s="32">
        <f t="shared" si="8"/>
        <v>171000</v>
      </c>
      <c r="T29" s="32">
        <f t="shared" si="8"/>
        <v>0</v>
      </c>
      <c r="U29" s="31">
        <v>19</v>
      </c>
    </row>
    <row r="30" spans="1:21" s="713" customFormat="1" ht="25.35" customHeight="1" thickTop="1" thickBot="1" x14ac:dyDescent="0.25">
      <c r="A30" s="734" t="s">
        <v>209</v>
      </c>
      <c r="B30" s="736" t="s">
        <v>1518</v>
      </c>
      <c r="C30" s="933"/>
      <c r="D30" s="32">
        <f t="shared" ref="D30:T30" si="9">SUM(D31,D33)</f>
        <v>8344000</v>
      </c>
      <c r="E30" s="32">
        <f t="shared" si="9"/>
        <v>2711000</v>
      </c>
      <c r="F30" s="32">
        <f t="shared" si="9"/>
        <v>706000</v>
      </c>
      <c r="G30" s="32">
        <f t="shared" si="9"/>
        <v>132000</v>
      </c>
      <c r="H30" s="32">
        <f t="shared" si="9"/>
        <v>0</v>
      </c>
      <c r="I30" s="32">
        <f t="shared" si="9"/>
        <v>2172000</v>
      </c>
      <c r="J30" s="32">
        <f t="shared" si="9"/>
        <v>659000</v>
      </c>
      <c r="K30" s="32">
        <f t="shared" si="9"/>
        <v>9061000</v>
      </c>
      <c r="L30" s="32">
        <f t="shared" si="9"/>
        <v>0</v>
      </c>
      <c r="M30" s="32">
        <f t="shared" si="9"/>
        <v>326000</v>
      </c>
      <c r="N30" s="32">
        <f t="shared" si="9"/>
        <v>291000</v>
      </c>
      <c r="O30" s="32">
        <f t="shared" si="9"/>
        <v>2125000</v>
      </c>
      <c r="P30" s="32">
        <f t="shared" si="9"/>
        <v>0</v>
      </c>
      <c r="Q30" s="32">
        <f t="shared" si="9"/>
        <v>26000</v>
      </c>
      <c r="R30" s="32">
        <f t="shared" si="9"/>
        <v>24000</v>
      </c>
      <c r="S30" s="32">
        <f t="shared" si="9"/>
        <v>171000</v>
      </c>
      <c r="T30" s="32">
        <f t="shared" si="9"/>
        <v>0</v>
      </c>
      <c r="U30" s="933"/>
    </row>
    <row r="31" spans="1:21" s="713" customFormat="1" ht="25.35" customHeight="1" thickTop="1" x14ac:dyDescent="0.2">
      <c r="A31" s="734" t="s">
        <v>677</v>
      </c>
      <c r="B31" s="737" t="s">
        <v>1519</v>
      </c>
      <c r="C31" s="31">
        <v>21</v>
      </c>
      <c r="D31" s="33">
        <v>5002000</v>
      </c>
      <c r="E31" s="33">
        <v>1497000</v>
      </c>
      <c r="F31" s="33">
        <v>345000</v>
      </c>
      <c r="G31" s="33">
        <v>55000</v>
      </c>
      <c r="H31" s="33">
        <v>0</v>
      </c>
      <c r="I31" s="33">
        <v>0</v>
      </c>
      <c r="J31" s="33">
        <v>158000</v>
      </c>
      <c r="K31" s="33">
        <v>6740000</v>
      </c>
      <c r="L31" s="33">
        <v>0</v>
      </c>
      <c r="M31" s="33">
        <v>0</v>
      </c>
      <c r="N31" s="33">
        <v>83000</v>
      </c>
      <c r="O31" s="33">
        <v>1431000</v>
      </c>
      <c r="P31" s="33">
        <v>0</v>
      </c>
      <c r="Q31" s="33">
        <v>0</v>
      </c>
      <c r="R31" s="33">
        <v>7000</v>
      </c>
      <c r="S31" s="33">
        <v>115000</v>
      </c>
      <c r="T31" s="33"/>
      <c r="U31" s="31">
        <v>21</v>
      </c>
    </row>
    <row r="32" spans="1:21" s="713" customFormat="1" ht="25.35" customHeight="1" x14ac:dyDescent="0.2">
      <c r="A32" s="734" t="s">
        <v>1535</v>
      </c>
      <c r="B32" s="738" t="s">
        <v>1521</v>
      </c>
      <c r="C32" s="31">
        <v>22</v>
      </c>
      <c r="D32" s="33">
        <v>0</v>
      </c>
      <c r="E32" s="33">
        <v>0</v>
      </c>
      <c r="F32" s="33">
        <v>0</v>
      </c>
      <c r="G32" s="33">
        <v>0</v>
      </c>
      <c r="H32" s="33">
        <v>0</v>
      </c>
      <c r="I32" s="33">
        <v>0</v>
      </c>
      <c r="J32" s="33">
        <v>0</v>
      </c>
      <c r="K32" s="33">
        <v>0</v>
      </c>
      <c r="L32" s="33">
        <v>0</v>
      </c>
      <c r="M32" s="33">
        <v>0</v>
      </c>
      <c r="N32" s="33">
        <v>0</v>
      </c>
      <c r="O32" s="33">
        <v>0</v>
      </c>
      <c r="P32" s="33">
        <v>0</v>
      </c>
      <c r="Q32" s="33">
        <v>0</v>
      </c>
      <c r="R32" s="33">
        <v>0</v>
      </c>
      <c r="S32" s="33">
        <v>0</v>
      </c>
      <c r="T32" s="33"/>
      <c r="U32" s="31">
        <v>22</v>
      </c>
    </row>
    <row r="33" spans="1:21" s="713" customFormat="1" ht="25.35" customHeight="1" x14ac:dyDescent="0.2">
      <c r="A33" s="734" t="s">
        <v>1536</v>
      </c>
      <c r="B33" s="737" t="s">
        <v>1523</v>
      </c>
      <c r="C33" s="31">
        <v>23</v>
      </c>
      <c r="D33" s="33">
        <v>3342000</v>
      </c>
      <c r="E33" s="33">
        <v>1214000</v>
      </c>
      <c r="F33" s="33">
        <v>361000</v>
      </c>
      <c r="G33" s="33">
        <v>77000</v>
      </c>
      <c r="H33" s="33">
        <v>0</v>
      </c>
      <c r="I33" s="33">
        <v>2172000</v>
      </c>
      <c r="J33" s="33">
        <v>501000</v>
      </c>
      <c r="K33" s="33">
        <v>2321000</v>
      </c>
      <c r="L33" s="33">
        <v>0</v>
      </c>
      <c r="M33" s="33">
        <v>326000</v>
      </c>
      <c r="N33" s="33">
        <v>208000</v>
      </c>
      <c r="O33" s="33">
        <v>694000</v>
      </c>
      <c r="P33" s="33">
        <v>0</v>
      </c>
      <c r="Q33" s="33">
        <v>26000</v>
      </c>
      <c r="R33" s="33">
        <v>17000</v>
      </c>
      <c r="S33" s="33">
        <v>56000</v>
      </c>
      <c r="T33" s="33"/>
      <c r="U33" s="31">
        <v>23</v>
      </c>
    </row>
    <row r="34" spans="1:21" s="713" customFormat="1" ht="25.35" customHeight="1" x14ac:dyDescent="0.2">
      <c r="A34" s="734" t="s">
        <v>1537</v>
      </c>
      <c r="B34" s="738" t="s">
        <v>1521</v>
      </c>
      <c r="C34" s="31">
        <v>24</v>
      </c>
      <c r="D34" s="33"/>
      <c r="E34" s="33"/>
      <c r="F34" s="33"/>
      <c r="G34" s="33"/>
      <c r="H34" s="33"/>
      <c r="I34" s="33"/>
      <c r="J34" s="33"/>
      <c r="K34" s="33"/>
      <c r="L34" s="33"/>
      <c r="M34" s="33"/>
      <c r="N34" s="33"/>
      <c r="O34" s="33"/>
      <c r="P34" s="33"/>
      <c r="Q34" s="33"/>
      <c r="R34" s="33"/>
      <c r="S34" s="33"/>
      <c r="T34" s="33"/>
      <c r="U34" s="31">
        <v>24</v>
      </c>
    </row>
    <row r="35" spans="1:21" s="713" customFormat="1" ht="25.35" customHeight="1" thickBot="1" x14ac:dyDescent="0.25">
      <c r="A35" s="734" t="s">
        <v>211</v>
      </c>
      <c r="B35" s="736" t="s">
        <v>1526</v>
      </c>
      <c r="C35" s="933"/>
      <c r="D35" s="32">
        <f t="shared" ref="D35:T35" si="10">SUM(D36:D37)</f>
        <v>0</v>
      </c>
      <c r="E35" s="32">
        <f t="shared" si="10"/>
        <v>0</v>
      </c>
      <c r="F35" s="32">
        <f t="shared" si="10"/>
        <v>0</v>
      </c>
      <c r="G35" s="32">
        <f t="shared" si="10"/>
        <v>0</v>
      </c>
      <c r="H35" s="32">
        <f t="shared" si="10"/>
        <v>0</v>
      </c>
      <c r="I35" s="32">
        <f t="shared" si="10"/>
        <v>0</v>
      </c>
      <c r="J35" s="32">
        <f t="shared" si="10"/>
        <v>0</v>
      </c>
      <c r="K35" s="32">
        <f t="shared" si="10"/>
        <v>0</v>
      </c>
      <c r="L35" s="32">
        <f t="shared" si="10"/>
        <v>0</v>
      </c>
      <c r="M35" s="32">
        <f t="shared" si="10"/>
        <v>0</v>
      </c>
      <c r="N35" s="32">
        <f t="shared" si="10"/>
        <v>0</v>
      </c>
      <c r="O35" s="32">
        <f t="shared" si="10"/>
        <v>0</v>
      </c>
      <c r="P35" s="32">
        <f t="shared" si="10"/>
        <v>0</v>
      </c>
      <c r="Q35" s="32">
        <f t="shared" si="10"/>
        <v>0</v>
      </c>
      <c r="R35" s="32">
        <f t="shared" si="10"/>
        <v>0</v>
      </c>
      <c r="S35" s="32">
        <f t="shared" si="10"/>
        <v>0</v>
      </c>
      <c r="T35" s="32">
        <f t="shared" si="10"/>
        <v>0</v>
      </c>
      <c r="U35" s="933"/>
    </row>
    <row r="36" spans="1:21" s="713" customFormat="1" ht="25.35" customHeight="1" thickTop="1" x14ac:dyDescent="0.2">
      <c r="A36" s="734" t="s">
        <v>1538</v>
      </c>
      <c r="B36" s="739" t="s">
        <v>1527</v>
      </c>
      <c r="C36" s="31">
        <v>26</v>
      </c>
      <c r="D36" s="33"/>
      <c r="E36" s="33"/>
      <c r="F36" s="33"/>
      <c r="G36" s="33"/>
      <c r="H36" s="33"/>
      <c r="I36" s="33"/>
      <c r="J36" s="33"/>
      <c r="K36" s="33"/>
      <c r="L36" s="33"/>
      <c r="M36" s="33"/>
      <c r="N36" s="33"/>
      <c r="O36" s="33"/>
      <c r="P36" s="33"/>
      <c r="Q36" s="33"/>
      <c r="R36" s="33"/>
      <c r="S36" s="33"/>
      <c r="T36" s="33"/>
      <c r="U36" s="31">
        <v>26</v>
      </c>
    </row>
    <row r="37" spans="1:21" s="713" customFormat="1" ht="25.35" customHeight="1" x14ac:dyDescent="0.2">
      <c r="A37" s="734" t="s">
        <v>1539</v>
      </c>
      <c r="B37" s="739" t="s">
        <v>1528</v>
      </c>
      <c r="C37" s="31">
        <v>27</v>
      </c>
      <c r="D37" s="33"/>
      <c r="E37" s="33"/>
      <c r="F37" s="33"/>
      <c r="G37" s="33"/>
      <c r="H37" s="33"/>
      <c r="I37" s="33"/>
      <c r="J37" s="33"/>
      <c r="K37" s="33"/>
      <c r="L37" s="33"/>
      <c r="M37" s="33"/>
      <c r="N37" s="33"/>
      <c r="O37" s="33"/>
      <c r="P37" s="33"/>
      <c r="Q37" s="33"/>
      <c r="R37" s="33"/>
      <c r="S37" s="33"/>
      <c r="T37" s="33"/>
      <c r="U37" s="31">
        <v>27</v>
      </c>
    </row>
    <row r="38" spans="1:21" s="713" customFormat="1" ht="37.5" customHeight="1" thickBot="1" x14ac:dyDescent="0.25">
      <c r="A38" s="734" t="s">
        <v>212</v>
      </c>
      <c r="B38" s="735" t="s">
        <v>1529</v>
      </c>
      <c r="C38" s="31">
        <v>28</v>
      </c>
      <c r="D38" s="32">
        <f t="shared" ref="D38:T38" si="11">SUM(D39,D42)</f>
        <v>231000</v>
      </c>
      <c r="E38" s="32">
        <f t="shared" si="11"/>
        <v>228000</v>
      </c>
      <c r="F38" s="32">
        <f t="shared" si="11"/>
        <v>82000</v>
      </c>
      <c r="G38" s="32">
        <f t="shared" si="11"/>
        <v>11000</v>
      </c>
      <c r="H38" s="32">
        <f t="shared" si="11"/>
        <v>1000</v>
      </c>
      <c r="I38" s="32">
        <f t="shared" si="11"/>
        <v>0</v>
      </c>
      <c r="J38" s="32">
        <f t="shared" si="11"/>
        <v>319000</v>
      </c>
      <c r="K38" s="32">
        <f t="shared" si="11"/>
        <v>235000</v>
      </c>
      <c r="L38" s="32">
        <f t="shared" si="11"/>
        <v>0</v>
      </c>
      <c r="M38" s="32">
        <f t="shared" si="11"/>
        <v>0</v>
      </c>
      <c r="N38" s="32">
        <f t="shared" si="11"/>
        <v>152000</v>
      </c>
      <c r="O38" s="32">
        <f t="shared" si="11"/>
        <v>56000</v>
      </c>
      <c r="P38" s="32">
        <f t="shared" si="11"/>
        <v>0</v>
      </c>
      <c r="Q38" s="32">
        <f t="shared" si="11"/>
        <v>0</v>
      </c>
      <c r="R38" s="32">
        <f t="shared" si="11"/>
        <v>12000</v>
      </c>
      <c r="S38" s="32">
        <f t="shared" si="11"/>
        <v>5000</v>
      </c>
      <c r="T38" s="32">
        <f t="shared" si="11"/>
        <v>0</v>
      </c>
      <c r="U38" s="31">
        <v>28</v>
      </c>
    </row>
    <row r="39" spans="1:21" s="713" customFormat="1" ht="25.35" customHeight="1" thickTop="1" thickBot="1" x14ac:dyDescent="0.25">
      <c r="A39" s="734" t="s">
        <v>214</v>
      </c>
      <c r="B39" s="736" t="s">
        <v>1518</v>
      </c>
      <c r="C39" s="933"/>
      <c r="D39" s="32">
        <f t="shared" ref="D39:T39" si="12">SUM(D40:D41)</f>
        <v>231000</v>
      </c>
      <c r="E39" s="32">
        <f t="shared" si="12"/>
        <v>228000</v>
      </c>
      <c r="F39" s="32">
        <f t="shared" si="12"/>
        <v>82000</v>
      </c>
      <c r="G39" s="32">
        <f t="shared" si="12"/>
        <v>11000</v>
      </c>
      <c r="H39" s="32">
        <f t="shared" si="12"/>
        <v>0</v>
      </c>
      <c r="I39" s="32">
        <f t="shared" si="12"/>
        <v>0</v>
      </c>
      <c r="J39" s="32">
        <f t="shared" si="12"/>
        <v>319000</v>
      </c>
      <c r="K39" s="32">
        <f t="shared" si="12"/>
        <v>234000</v>
      </c>
      <c r="L39" s="32">
        <f t="shared" si="12"/>
        <v>0</v>
      </c>
      <c r="M39" s="32">
        <f t="shared" si="12"/>
        <v>0</v>
      </c>
      <c r="N39" s="32">
        <f t="shared" si="12"/>
        <v>152000</v>
      </c>
      <c r="O39" s="32">
        <f t="shared" si="12"/>
        <v>44000</v>
      </c>
      <c r="P39" s="32">
        <f t="shared" si="12"/>
        <v>0</v>
      </c>
      <c r="Q39" s="32">
        <f t="shared" si="12"/>
        <v>0</v>
      </c>
      <c r="R39" s="32">
        <f t="shared" si="12"/>
        <v>12000</v>
      </c>
      <c r="S39" s="32">
        <f t="shared" si="12"/>
        <v>4000</v>
      </c>
      <c r="T39" s="32">
        <f t="shared" si="12"/>
        <v>0</v>
      </c>
      <c r="U39" s="933"/>
    </row>
    <row r="40" spans="1:21" s="713" customFormat="1" ht="25.35" customHeight="1" thickTop="1" x14ac:dyDescent="0.2">
      <c r="A40" s="734" t="s">
        <v>1540</v>
      </c>
      <c r="B40" s="737" t="s">
        <v>1519</v>
      </c>
      <c r="C40" s="31">
        <v>30</v>
      </c>
      <c r="D40" s="33">
        <v>93000</v>
      </c>
      <c r="E40" s="33">
        <v>228000</v>
      </c>
      <c r="F40" s="33">
        <v>82000</v>
      </c>
      <c r="G40" s="33">
        <v>11000</v>
      </c>
      <c r="H40" s="33">
        <v>0</v>
      </c>
      <c r="I40" s="33">
        <v>0</v>
      </c>
      <c r="J40" s="33">
        <v>315000</v>
      </c>
      <c r="K40" s="33">
        <v>100000</v>
      </c>
      <c r="L40" s="33">
        <v>0</v>
      </c>
      <c r="M40" s="33">
        <v>0</v>
      </c>
      <c r="N40" s="33">
        <v>151000</v>
      </c>
      <c r="O40" s="33">
        <v>24000</v>
      </c>
      <c r="P40" s="33">
        <v>0</v>
      </c>
      <c r="Q40" s="33">
        <v>0</v>
      </c>
      <c r="R40" s="33">
        <v>12000</v>
      </c>
      <c r="S40" s="33">
        <v>2000</v>
      </c>
      <c r="T40" s="33"/>
      <c r="U40" s="31">
        <v>30</v>
      </c>
    </row>
    <row r="41" spans="1:21" s="713" customFormat="1" ht="25.35" customHeight="1" x14ac:dyDescent="0.2">
      <c r="A41" s="734" t="s">
        <v>1541</v>
      </c>
      <c r="B41" s="737" t="s">
        <v>1523</v>
      </c>
      <c r="C41" s="31">
        <v>31</v>
      </c>
      <c r="D41" s="33">
        <v>138000</v>
      </c>
      <c r="E41" s="33">
        <v>0</v>
      </c>
      <c r="F41" s="33">
        <v>0</v>
      </c>
      <c r="G41" s="33">
        <v>0</v>
      </c>
      <c r="H41" s="33">
        <v>0</v>
      </c>
      <c r="I41" s="33">
        <v>0</v>
      </c>
      <c r="J41" s="33">
        <v>4000</v>
      </c>
      <c r="K41" s="33">
        <v>134000</v>
      </c>
      <c r="L41" s="33">
        <v>0</v>
      </c>
      <c r="M41" s="33">
        <v>0</v>
      </c>
      <c r="N41" s="33">
        <v>1000</v>
      </c>
      <c r="O41" s="33">
        <v>20000</v>
      </c>
      <c r="P41" s="33">
        <v>0</v>
      </c>
      <c r="Q41" s="33">
        <v>0</v>
      </c>
      <c r="R41" s="33">
        <v>0</v>
      </c>
      <c r="S41" s="33">
        <v>2000</v>
      </c>
      <c r="T41" s="33"/>
      <c r="U41" s="31">
        <v>31</v>
      </c>
    </row>
    <row r="42" spans="1:21" s="713" customFormat="1" ht="25.35" customHeight="1" thickBot="1" x14ac:dyDescent="0.25">
      <c r="A42" s="734" t="s">
        <v>216</v>
      </c>
      <c r="B42" s="736" t="s">
        <v>1526</v>
      </c>
      <c r="C42" s="933"/>
      <c r="D42" s="32">
        <f t="shared" ref="D42:T42" si="13">SUM(D43:D44)</f>
        <v>0</v>
      </c>
      <c r="E42" s="32">
        <f t="shared" si="13"/>
        <v>0</v>
      </c>
      <c r="F42" s="32">
        <f t="shared" si="13"/>
        <v>0</v>
      </c>
      <c r="G42" s="32">
        <f t="shared" si="13"/>
        <v>0</v>
      </c>
      <c r="H42" s="32">
        <f t="shared" si="13"/>
        <v>1000</v>
      </c>
      <c r="I42" s="32">
        <f t="shared" si="13"/>
        <v>0</v>
      </c>
      <c r="J42" s="32">
        <f t="shared" si="13"/>
        <v>0</v>
      </c>
      <c r="K42" s="32">
        <f t="shared" si="13"/>
        <v>1000</v>
      </c>
      <c r="L42" s="32">
        <f t="shared" si="13"/>
        <v>0</v>
      </c>
      <c r="M42" s="32">
        <f t="shared" si="13"/>
        <v>0</v>
      </c>
      <c r="N42" s="32">
        <f t="shared" si="13"/>
        <v>0</v>
      </c>
      <c r="O42" s="32">
        <f t="shared" si="13"/>
        <v>12000</v>
      </c>
      <c r="P42" s="32">
        <f t="shared" si="13"/>
        <v>0</v>
      </c>
      <c r="Q42" s="32">
        <f t="shared" si="13"/>
        <v>0</v>
      </c>
      <c r="R42" s="32">
        <f t="shared" si="13"/>
        <v>0</v>
      </c>
      <c r="S42" s="32">
        <f t="shared" si="13"/>
        <v>1000</v>
      </c>
      <c r="T42" s="32">
        <f t="shared" si="13"/>
        <v>0</v>
      </c>
      <c r="U42" s="933"/>
    </row>
    <row r="43" spans="1:21" s="713" customFormat="1" ht="25.35" customHeight="1" thickTop="1" x14ac:dyDescent="0.2">
      <c r="A43" s="734" t="s">
        <v>1542</v>
      </c>
      <c r="B43" s="739" t="s">
        <v>1527</v>
      </c>
      <c r="C43" s="31">
        <v>33</v>
      </c>
      <c r="D43" s="33">
        <v>0</v>
      </c>
      <c r="E43" s="33">
        <v>0</v>
      </c>
      <c r="F43" s="33">
        <v>0</v>
      </c>
      <c r="G43" s="33">
        <v>0</v>
      </c>
      <c r="H43" s="33">
        <v>1000</v>
      </c>
      <c r="I43" s="33">
        <v>0</v>
      </c>
      <c r="J43" s="33">
        <v>0</v>
      </c>
      <c r="K43" s="33">
        <v>1000</v>
      </c>
      <c r="L43" s="33">
        <v>0</v>
      </c>
      <c r="M43" s="33">
        <v>0</v>
      </c>
      <c r="N43" s="33">
        <v>0</v>
      </c>
      <c r="O43" s="33">
        <v>12000</v>
      </c>
      <c r="P43" s="33">
        <v>0</v>
      </c>
      <c r="Q43" s="33">
        <v>0</v>
      </c>
      <c r="R43" s="33">
        <v>0</v>
      </c>
      <c r="S43" s="33">
        <v>1000</v>
      </c>
      <c r="T43" s="33"/>
      <c r="U43" s="31">
        <v>33</v>
      </c>
    </row>
    <row r="44" spans="1:21" ht="25.35" customHeight="1" x14ac:dyDescent="0.2">
      <c r="A44" s="742" t="s">
        <v>1543</v>
      </c>
      <c r="B44" s="739" t="s">
        <v>1528</v>
      </c>
      <c r="C44" s="31">
        <v>34</v>
      </c>
      <c r="D44" s="33">
        <v>0</v>
      </c>
      <c r="E44" s="33">
        <v>0</v>
      </c>
      <c r="F44" s="33">
        <v>0</v>
      </c>
      <c r="G44" s="33">
        <v>0</v>
      </c>
      <c r="H44" s="33">
        <v>0</v>
      </c>
      <c r="I44" s="33">
        <v>0</v>
      </c>
      <c r="J44" s="33">
        <v>0</v>
      </c>
      <c r="K44" s="33">
        <v>0</v>
      </c>
      <c r="L44" s="33">
        <v>0</v>
      </c>
      <c r="M44" s="33">
        <v>0</v>
      </c>
      <c r="N44" s="33">
        <v>0</v>
      </c>
      <c r="O44" s="33">
        <v>0</v>
      </c>
      <c r="P44" s="33">
        <v>0</v>
      </c>
      <c r="Q44" s="33">
        <v>0</v>
      </c>
      <c r="R44" s="33">
        <v>0</v>
      </c>
      <c r="S44" s="33">
        <v>0</v>
      </c>
      <c r="T44" s="33"/>
      <c r="U44" s="31">
        <v>34</v>
      </c>
    </row>
    <row r="45" spans="1:21" ht="7.5" customHeight="1" x14ac:dyDescent="0.2">
      <c r="A45" s="743"/>
      <c r="B45" s="744"/>
      <c r="C45" s="12"/>
      <c r="D45" s="28"/>
      <c r="E45" s="28"/>
      <c r="F45" s="28"/>
      <c r="G45" s="28"/>
      <c r="H45" s="28"/>
      <c r="I45" s="28"/>
      <c r="J45" s="28"/>
      <c r="K45" s="28"/>
      <c r="L45" s="28"/>
      <c r="M45" s="12"/>
      <c r="N45" s="12"/>
      <c r="O45" s="12"/>
      <c r="P45" s="12"/>
      <c r="Q45" s="12"/>
      <c r="R45" s="12"/>
      <c r="S45" s="12"/>
      <c r="T45" s="12"/>
      <c r="U45" s="25"/>
    </row>
    <row r="46" spans="1:21" ht="18.75" customHeight="1" x14ac:dyDescent="0.2">
      <c r="B46" s="26" t="str">
        <f>"Version: "&amp;D64</f>
        <v>Version: 1.00.E0</v>
      </c>
      <c r="N46" s="23"/>
      <c r="U46" s="745" t="s">
        <v>25</v>
      </c>
    </row>
    <row r="47" spans="1:21" ht="18.75" customHeight="1" x14ac:dyDescent="0.2">
      <c r="M47" s="23"/>
      <c r="N47" s="23"/>
      <c r="U47" s="713"/>
    </row>
    <row r="48" spans="1:21" ht="18.75" customHeight="1" x14ac:dyDescent="0.2">
      <c r="M48" s="23"/>
      <c r="N48" s="23"/>
      <c r="U48" s="713"/>
    </row>
    <row r="49" spans="1:21" ht="18.75" customHeight="1" x14ac:dyDescent="0.2">
      <c r="M49" s="23"/>
      <c r="N49" s="23"/>
      <c r="U49" s="713"/>
    </row>
    <row r="50" spans="1:21" ht="18.75" customHeight="1" x14ac:dyDescent="0.2">
      <c r="B50" s="746" t="s">
        <v>1544</v>
      </c>
      <c r="M50" s="23"/>
      <c r="N50" s="23"/>
      <c r="U50" s="713"/>
    </row>
    <row r="51" spans="1:21" s="713" customFormat="1" ht="16.350000000000001" customHeight="1" x14ac:dyDescent="0.2">
      <c r="A51" s="734"/>
      <c r="B51" s="747" t="s">
        <v>1545</v>
      </c>
      <c r="C51" s="748"/>
      <c r="D51" s="2" t="str">
        <f t="shared" ref="D51:T51" si="14">IF(D14-D15&lt;-0.5,"WARNING","")</f>
        <v/>
      </c>
      <c r="E51" s="2" t="str">
        <f t="shared" si="14"/>
        <v/>
      </c>
      <c r="F51" s="2" t="str">
        <f t="shared" si="14"/>
        <v/>
      </c>
      <c r="G51" s="2" t="str">
        <f t="shared" si="14"/>
        <v/>
      </c>
      <c r="H51" s="2" t="str">
        <f t="shared" si="14"/>
        <v/>
      </c>
      <c r="I51" s="2" t="str">
        <f t="shared" si="14"/>
        <v/>
      </c>
      <c r="J51" s="2" t="str">
        <f t="shared" si="14"/>
        <v/>
      </c>
      <c r="K51" s="2" t="str">
        <f t="shared" si="14"/>
        <v/>
      </c>
      <c r="L51" s="2" t="str">
        <f t="shared" si="14"/>
        <v/>
      </c>
      <c r="M51" s="2" t="str">
        <f t="shared" si="14"/>
        <v/>
      </c>
      <c r="N51" s="2" t="str">
        <f t="shared" si="14"/>
        <v/>
      </c>
      <c r="O51" s="2" t="str">
        <f t="shared" si="14"/>
        <v/>
      </c>
      <c r="P51" s="2" t="str">
        <f t="shared" si="14"/>
        <v/>
      </c>
      <c r="Q51" s="2" t="str">
        <f t="shared" si="14"/>
        <v/>
      </c>
      <c r="R51" s="2" t="str">
        <f t="shared" si="14"/>
        <v/>
      </c>
      <c r="S51" s="2" t="str">
        <f t="shared" si="14"/>
        <v/>
      </c>
      <c r="T51" s="2" t="str">
        <f t="shared" si="14"/>
        <v/>
      </c>
    </row>
    <row r="52" spans="1:21" s="713" customFormat="1" ht="16.350000000000001" customHeight="1" x14ac:dyDescent="0.2">
      <c r="A52" s="734"/>
      <c r="B52" s="747" t="s">
        <v>1546</v>
      </c>
      <c r="C52" s="748"/>
      <c r="D52" s="2" t="str">
        <f t="shared" ref="D52:T52" si="15">IF(D16-D17&lt;-0.5,"WARNING","")</f>
        <v/>
      </c>
      <c r="E52" s="2" t="str">
        <f t="shared" si="15"/>
        <v/>
      </c>
      <c r="F52" s="2" t="str">
        <f t="shared" si="15"/>
        <v/>
      </c>
      <c r="G52" s="2" t="str">
        <f t="shared" si="15"/>
        <v/>
      </c>
      <c r="H52" s="2" t="str">
        <f t="shared" si="15"/>
        <v/>
      </c>
      <c r="I52" s="2" t="str">
        <f t="shared" si="15"/>
        <v/>
      </c>
      <c r="J52" s="2" t="str">
        <f t="shared" si="15"/>
        <v/>
      </c>
      <c r="K52" s="2" t="str">
        <f t="shared" si="15"/>
        <v/>
      </c>
      <c r="L52" s="2" t="str">
        <f t="shared" si="15"/>
        <v/>
      </c>
      <c r="M52" s="2" t="str">
        <f t="shared" si="15"/>
        <v/>
      </c>
      <c r="N52" s="2" t="str">
        <f t="shared" si="15"/>
        <v/>
      </c>
      <c r="O52" s="2" t="str">
        <f t="shared" si="15"/>
        <v/>
      </c>
      <c r="P52" s="2" t="str">
        <f t="shared" si="15"/>
        <v/>
      </c>
      <c r="Q52" s="2" t="str">
        <f t="shared" si="15"/>
        <v/>
      </c>
      <c r="R52" s="2" t="str">
        <f t="shared" si="15"/>
        <v/>
      </c>
      <c r="S52" s="2" t="str">
        <f t="shared" si="15"/>
        <v/>
      </c>
      <c r="T52" s="2" t="str">
        <f t="shared" si="15"/>
        <v/>
      </c>
    </row>
    <row r="53" spans="1:21" ht="16.350000000000001" customHeight="1" x14ac:dyDescent="0.2">
      <c r="D53" s="713"/>
      <c r="E53" s="713"/>
      <c r="F53" s="713"/>
      <c r="G53" s="713"/>
      <c r="H53" s="713"/>
      <c r="I53" s="713"/>
      <c r="J53" s="713"/>
      <c r="K53" s="713"/>
      <c r="L53" s="713"/>
      <c r="M53" s="713"/>
      <c r="N53" s="713"/>
      <c r="O53" s="713"/>
      <c r="P53" s="713"/>
      <c r="Q53" s="713"/>
      <c r="R53" s="713"/>
      <c r="S53" s="713"/>
      <c r="T53" s="713"/>
      <c r="U53" s="713"/>
    </row>
    <row r="54" spans="1:21" ht="16.350000000000001" customHeight="1" x14ac:dyDescent="0.2">
      <c r="D54" s="713"/>
      <c r="E54" s="713"/>
      <c r="F54" s="713"/>
      <c r="G54" s="713"/>
      <c r="H54" s="713"/>
      <c r="I54" s="713"/>
      <c r="J54" s="713"/>
      <c r="K54" s="713"/>
      <c r="L54" s="713"/>
      <c r="M54" s="713"/>
      <c r="N54" s="713"/>
      <c r="O54" s="713"/>
      <c r="P54" s="713"/>
      <c r="Q54" s="713"/>
      <c r="R54" s="713"/>
      <c r="S54" s="713"/>
      <c r="T54" s="713"/>
      <c r="U54" s="713"/>
    </row>
    <row r="55" spans="1:21" s="713" customFormat="1" ht="16.350000000000001" customHeight="1" x14ac:dyDescent="0.2">
      <c r="A55" s="734"/>
      <c r="B55" s="747" t="s">
        <v>1547</v>
      </c>
      <c r="C55" s="748"/>
      <c r="D55" s="2" t="str">
        <f t="shared" ref="D55:T55" si="16">IF(D31-D32&lt;-0.5,"WARNING","")</f>
        <v/>
      </c>
      <c r="E55" s="2" t="str">
        <f t="shared" si="16"/>
        <v/>
      </c>
      <c r="F55" s="2" t="str">
        <f t="shared" si="16"/>
        <v/>
      </c>
      <c r="G55" s="2" t="str">
        <f t="shared" si="16"/>
        <v/>
      </c>
      <c r="H55" s="2" t="str">
        <f t="shared" si="16"/>
        <v/>
      </c>
      <c r="I55" s="2" t="str">
        <f t="shared" si="16"/>
        <v/>
      </c>
      <c r="J55" s="2" t="str">
        <f t="shared" si="16"/>
        <v/>
      </c>
      <c r="K55" s="2" t="str">
        <f t="shared" si="16"/>
        <v/>
      </c>
      <c r="L55" s="2" t="str">
        <f t="shared" si="16"/>
        <v/>
      </c>
      <c r="M55" s="2" t="str">
        <f t="shared" si="16"/>
        <v/>
      </c>
      <c r="N55" s="2" t="str">
        <f t="shared" si="16"/>
        <v/>
      </c>
      <c r="O55" s="2" t="str">
        <f t="shared" si="16"/>
        <v/>
      </c>
      <c r="P55" s="2" t="str">
        <f t="shared" si="16"/>
        <v/>
      </c>
      <c r="Q55" s="2" t="str">
        <f t="shared" si="16"/>
        <v/>
      </c>
      <c r="R55" s="2" t="str">
        <f t="shared" si="16"/>
        <v/>
      </c>
      <c r="S55" s="2" t="str">
        <f t="shared" si="16"/>
        <v/>
      </c>
      <c r="T55" s="2" t="str">
        <f t="shared" si="16"/>
        <v/>
      </c>
    </row>
    <row r="56" spans="1:21" s="713" customFormat="1" ht="16.350000000000001" customHeight="1" x14ac:dyDescent="0.2">
      <c r="A56" s="734"/>
      <c r="B56" s="747" t="s">
        <v>1548</v>
      </c>
      <c r="C56" s="748"/>
      <c r="D56" s="2" t="str">
        <f t="shared" ref="D56:T56" si="17">IF(D33-D34&lt;-0.5,"WARNING","")</f>
        <v/>
      </c>
      <c r="E56" s="2" t="str">
        <f t="shared" si="17"/>
        <v/>
      </c>
      <c r="F56" s="2" t="str">
        <f t="shared" si="17"/>
        <v/>
      </c>
      <c r="G56" s="2" t="str">
        <f t="shared" si="17"/>
        <v/>
      </c>
      <c r="H56" s="2" t="str">
        <f t="shared" si="17"/>
        <v/>
      </c>
      <c r="I56" s="2" t="str">
        <f t="shared" si="17"/>
        <v/>
      </c>
      <c r="J56" s="2" t="str">
        <f t="shared" si="17"/>
        <v/>
      </c>
      <c r="K56" s="2" t="str">
        <f t="shared" si="17"/>
        <v/>
      </c>
      <c r="L56" s="2" t="str">
        <f t="shared" si="17"/>
        <v/>
      </c>
      <c r="M56" s="2" t="str">
        <f t="shared" si="17"/>
        <v/>
      </c>
      <c r="N56" s="2" t="str">
        <f t="shared" si="17"/>
        <v/>
      </c>
      <c r="O56" s="2" t="str">
        <f t="shared" si="17"/>
        <v/>
      </c>
      <c r="P56" s="2" t="str">
        <f t="shared" si="17"/>
        <v/>
      </c>
      <c r="Q56" s="2" t="str">
        <f t="shared" si="17"/>
        <v/>
      </c>
      <c r="R56" s="2" t="str">
        <f t="shared" si="17"/>
        <v/>
      </c>
      <c r="S56" s="2" t="str">
        <f t="shared" si="17"/>
        <v/>
      </c>
      <c r="T56" s="2" t="str">
        <f t="shared" si="17"/>
        <v/>
      </c>
    </row>
    <row r="57" spans="1:21" ht="18.75" customHeight="1" x14ac:dyDescent="0.2">
      <c r="M57" s="23"/>
      <c r="N57" s="23"/>
      <c r="U57" s="713"/>
    </row>
    <row r="58" spans="1:21" ht="18.75" customHeight="1" x14ac:dyDescent="0.2">
      <c r="M58" s="23"/>
      <c r="N58" s="23"/>
      <c r="U58" s="713"/>
    </row>
    <row r="59" spans="1:21" ht="18.75" customHeight="1" x14ac:dyDescent="0.2">
      <c r="M59" s="23"/>
      <c r="N59" s="23"/>
      <c r="U59" s="713"/>
    </row>
    <row r="60" spans="1:21" ht="18.75" customHeight="1" x14ac:dyDescent="0.2">
      <c r="M60" s="23"/>
      <c r="N60" s="23"/>
      <c r="U60" s="713"/>
    </row>
    <row r="61" spans="1:21" ht="18.75" customHeight="1" x14ac:dyDescent="0.2">
      <c r="B61" s="21"/>
      <c r="C61" s="20" t="s">
        <v>24</v>
      </c>
      <c r="D61" s="19" t="str">
        <f>T2</f>
        <v>XXXXXX</v>
      </c>
      <c r="M61" s="23"/>
      <c r="N61" s="23"/>
      <c r="U61" s="713"/>
    </row>
    <row r="62" spans="1:21" ht="18.75" customHeight="1" x14ac:dyDescent="0.2">
      <c r="B62" s="15"/>
      <c r="D62" s="14" t="str">
        <f>T1</f>
        <v>P_CRSEC</v>
      </c>
      <c r="M62" s="23"/>
      <c r="N62" s="23"/>
      <c r="U62" s="713"/>
    </row>
    <row r="63" spans="1:21" ht="18.75" customHeight="1" x14ac:dyDescent="0.2">
      <c r="B63" s="15"/>
      <c r="D63" s="18" t="str">
        <f>T3</f>
        <v>DD.MM.YYYY</v>
      </c>
      <c r="M63" s="23"/>
      <c r="N63" s="23"/>
      <c r="U63" s="713"/>
    </row>
    <row r="64" spans="1:21" ht="18.75" customHeight="1" x14ac:dyDescent="0.2">
      <c r="B64" s="17"/>
      <c r="D64" s="16" t="s">
        <v>1549</v>
      </c>
      <c r="M64" s="23"/>
      <c r="N64" s="23"/>
      <c r="U64" s="713"/>
    </row>
    <row r="65" spans="2:21" ht="18.75" customHeight="1" x14ac:dyDescent="0.2">
      <c r="B65" s="15"/>
      <c r="D65" s="14" t="str">
        <f>D10</f>
        <v>col. 01</v>
      </c>
      <c r="M65" s="23"/>
      <c r="N65" s="23"/>
      <c r="U65" s="713"/>
    </row>
    <row r="66" spans="2:21" ht="18.75" customHeight="1" x14ac:dyDescent="0.2">
      <c r="B66" s="15"/>
      <c r="D66" s="749">
        <f>COUNTIF(D51:T56,"ERROR")</f>
        <v>0</v>
      </c>
      <c r="M66" s="23"/>
      <c r="N66" s="23"/>
      <c r="U66" s="713"/>
    </row>
    <row r="67" spans="2:21" ht="18.75" customHeight="1" x14ac:dyDescent="0.2">
      <c r="B67" s="13"/>
      <c r="C67" s="12"/>
      <c r="D67" s="750">
        <f>COUNTIF(D51:T56,"WARNING")</f>
        <v>0</v>
      </c>
      <c r="M67" s="23"/>
      <c r="N67" s="23"/>
      <c r="U67" s="713"/>
    </row>
    <row r="68" spans="2:21" ht="25.35" customHeight="1" x14ac:dyDescent="0.2">
      <c r="B68" s="9"/>
      <c r="C68" s="8"/>
      <c r="D68" s="10"/>
      <c r="M68" s="23"/>
      <c r="N68" s="23"/>
      <c r="U68" s="713"/>
    </row>
    <row r="69" spans="2:21" ht="25.35" customHeight="1" x14ac:dyDescent="0.2">
      <c r="B69" s="9"/>
      <c r="C69" s="8"/>
      <c r="M69" s="23"/>
      <c r="N69" s="23"/>
      <c r="U69" s="713"/>
    </row>
    <row r="70" spans="2:21" ht="25.35" customHeight="1" x14ac:dyDescent="0.2">
      <c r="M70" s="23"/>
      <c r="N70" s="23"/>
      <c r="U70" s="713"/>
    </row>
    <row r="71" spans="2:21" ht="25.35" customHeight="1" x14ac:dyDescent="0.2">
      <c r="M71" s="23"/>
      <c r="N71" s="23"/>
    </row>
    <row r="72" spans="2:21" ht="25.35" customHeight="1" x14ac:dyDescent="0.2">
      <c r="M72" s="23"/>
      <c r="N72" s="23"/>
    </row>
    <row r="73" spans="2:21" ht="25.35" customHeight="1" x14ac:dyDescent="0.2">
      <c r="M73" s="23"/>
      <c r="N73" s="23"/>
    </row>
    <row r="74" spans="2:21" ht="25.35" customHeight="1" x14ac:dyDescent="0.2">
      <c r="M74" s="23"/>
      <c r="N74" s="23"/>
    </row>
    <row r="75" spans="2:21" ht="25.35" customHeight="1" x14ac:dyDescent="0.2">
      <c r="M75" s="23"/>
      <c r="N75" s="23"/>
    </row>
    <row r="76" spans="2:21" ht="25.35" customHeight="1" x14ac:dyDescent="0.2">
      <c r="M76" s="23"/>
      <c r="N76" s="23"/>
    </row>
    <row r="77" spans="2:21" ht="25.35" customHeight="1" x14ac:dyDescent="0.2">
      <c r="M77" s="23"/>
      <c r="N77" s="23"/>
    </row>
    <row r="78" spans="2:21" ht="25.35" customHeight="1" x14ac:dyDescent="0.2">
      <c r="M78" s="23"/>
      <c r="N78" s="23"/>
    </row>
    <row r="79" spans="2:21" ht="25.35" customHeight="1" x14ac:dyDescent="0.2">
      <c r="M79" s="23"/>
      <c r="N79" s="23"/>
    </row>
    <row r="80" spans="2:21" ht="25.35" customHeight="1" x14ac:dyDescent="0.2">
      <c r="M80" s="23"/>
      <c r="N80" s="23"/>
    </row>
    <row r="81" spans="13:14" ht="25.35" customHeight="1" x14ac:dyDescent="0.2">
      <c r="M81" s="23"/>
      <c r="N81" s="23"/>
    </row>
    <row r="82" spans="13:14" ht="25.35" customHeight="1" x14ac:dyDescent="0.2">
      <c r="M82" s="23"/>
      <c r="N82" s="23"/>
    </row>
    <row r="83" spans="13:14" ht="25.35" customHeight="1" x14ac:dyDescent="0.2">
      <c r="M83" s="23"/>
      <c r="N83" s="23"/>
    </row>
    <row r="84" spans="13:14" ht="25.35" customHeight="1" x14ac:dyDescent="0.2">
      <c r="M84" s="23"/>
      <c r="N84" s="23"/>
    </row>
    <row r="85" spans="13:14" ht="25.35" customHeight="1" x14ac:dyDescent="0.2">
      <c r="M85" s="23"/>
      <c r="N85" s="23"/>
    </row>
    <row r="86" spans="13:14" ht="25.35" customHeight="1" x14ac:dyDescent="0.2">
      <c r="M86" s="23"/>
      <c r="N86" s="23"/>
    </row>
    <row r="87" spans="13:14" ht="25.35" customHeight="1" x14ac:dyDescent="0.2">
      <c r="M87" s="23"/>
      <c r="N87" s="23"/>
    </row>
    <row r="88" spans="13:14" ht="25.35" customHeight="1" x14ac:dyDescent="0.2">
      <c r="M88" s="23"/>
      <c r="N88" s="23"/>
    </row>
    <row r="89" spans="13:14" ht="25.35" customHeight="1" x14ac:dyDescent="0.2">
      <c r="M89" s="23"/>
      <c r="N89" s="23"/>
    </row>
    <row r="90" spans="13:14" ht="25.35" customHeight="1" x14ac:dyDescent="0.2">
      <c r="M90" s="23"/>
      <c r="N90" s="23"/>
    </row>
    <row r="91" spans="13:14" ht="25.35" customHeight="1" x14ac:dyDescent="0.2">
      <c r="M91" s="23"/>
      <c r="N91" s="23"/>
    </row>
    <row r="92" spans="13:14" ht="25.35" customHeight="1" x14ac:dyDescent="0.2">
      <c r="M92" s="23"/>
      <c r="N92" s="23"/>
    </row>
    <row r="93" spans="13:14" ht="25.35" customHeight="1" x14ac:dyDescent="0.2">
      <c r="M93" s="23"/>
      <c r="N93" s="23"/>
    </row>
    <row r="94" spans="13:14" ht="25.35" customHeight="1" x14ac:dyDescent="0.2">
      <c r="M94" s="23"/>
      <c r="N94" s="23"/>
    </row>
    <row r="95" spans="13:14" ht="7.5" customHeight="1" x14ac:dyDescent="0.2">
      <c r="M95" s="23"/>
      <c r="N95" s="23"/>
    </row>
    <row r="96" spans="13:14" ht="25.35" customHeight="1" x14ac:dyDescent="0.2">
      <c r="M96" s="23"/>
      <c r="N96" s="23"/>
    </row>
    <row r="97" spans="13:14" ht="17.100000000000001" customHeight="1" x14ac:dyDescent="0.2">
      <c r="M97" s="23"/>
      <c r="N97" s="23"/>
    </row>
    <row r="98" spans="13:14" ht="25.35" customHeight="1" x14ac:dyDescent="0.2"/>
    <row r="99" spans="13:14" ht="25.35" customHeight="1" x14ac:dyDescent="0.2"/>
    <row r="100" spans="13:14" ht="25.35" customHeight="1" x14ac:dyDescent="0.2"/>
    <row r="101" spans="13:14" ht="25.35" customHeight="1" x14ac:dyDescent="0.2"/>
    <row r="102" spans="13:14" ht="25.35" customHeight="1" x14ac:dyDescent="0.2"/>
    <row r="103" spans="13:14" ht="25.35" customHeight="1" x14ac:dyDescent="0.2"/>
    <row r="104" spans="13:14" ht="25.35" customHeight="1" x14ac:dyDescent="0.2"/>
    <row r="105" spans="13:14" ht="25.35" customHeight="1" x14ac:dyDescent="0.2"/>
  </sheetData>
  <mergeCells count="4">
    <mergeCell ref="D8:H8"/>
    <mergeCell ref="I8:L8"/>
    <mergeCell ref="M8:P8"/>
    <mergeCell ref="Q8:T8"/>
  </mergeCells>
  <printOptions gridLines="1" gridLinesSet="0"/>
  <pageMargins left="0.39370078740157483" right="0.39370078740157483" top="0.39370078740157483" bottom="0.39370078740157483" header="0.19685039370078741" footer="0.19685039370078741"/>
  <pageSetup paperSize="9" scale="39" orientation="landscape" r:id="rId1"/>
  <headerFooter alignWithMargins="0">
    <oddFooter>&amp;L&amp;"Arial,Fett"SNB Confidential&amp;C&amp;D&amp;RPage &amp;P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Tabelle27">
    <tabColor rgb="FF00B0F0"/>
    <pageSetUpPr fitToPage="1"/>
  </sheetPr>
  <dimension ref="A1:O33"/>
  <sheetViews>
    <sheetView zoomScale="80" zoomScaleNormal="80" workbookViewId="0">
      <selection activeCell="S22" sqref="S22"/>
    </sheetView>
  </sheetViews>
  <sheetFormatPr defaultColWidth="13.42578125" defaultRowHeight="12.75" x14ac:dyDescent="0.2"/>
  <cols>
    <col min="1" max="1" width="6" style="713" customWidth="1"/>
    <col min="2" max="2" width="32.5703125" style="713" customWidth="1"/>
    <col min="3" max="3" width="13.42578125" style="713" customWidth="1"/>
    <col min="4" max="4" width="14.42578125" style="713" customWidth="1"/>
    <col min="5" max="5" width="10.5703125" style="713" customWidth="1"/>
    <col min="6" max="6" width="6.42578125" style="713" customWidth="1"/>
    <col min="7" max="7" width="13.5703125" style="713" customWidth="1"/>
    <col min="8" max="8" width="1.5703125" style="713" customWidth="1"/>
    <col min="9" max="10" width="25.5703125" style="713" customWidth="1"/>
    <col min="11" max="11" width="4.5703125" style="713" customWidth="1"/>
    <col min="12" max="12" width="5.42578125" style="713" customWidth="1"/>
    <col min="13" max="16384" width="13.42578125" style="713"/>
  </cols>
  <sheetData>
    <row r="1" spans="1:15" ht="25.35" customHeight="1" x14ac:dyDescent="0.2">
      <c r="I1" s="718" t="s">
        <v>100</v>
      </c>
      <c r="J1" s="103" t="s">
        <v>1610</v>
      </c>
    </row>
    <row r="2" spans="1:15" ht="25.35" customHeight="1" x14ac:dyDescent="0.2">
      <c r="A2" s="99"/>
      <c r="B2" s="99"/>
      <c r="I2" s="718" t="s">
        <v>98</v>
      </c>
      <c r="J2" s="203" t="s">
        <v>119</v>
      </c>
    </row>
    <row r="3" spans="1:15" ht="25.35" customHeight="1" x14ac:dyDescent="0.2">
      <c r="I3" s="718" t="s">
        <v>96</v>
      </c>
      <c r="J3" s="201" t="s">
        <v>121</v>
      </c>
    </row>
    <row r="4" spans="1:15" ht="14.25" x14ac:dyDescent="0.2">
      <c r="A4" s="99"/>
      <c r="C4" s="200"/>
    </row>
    <row r="5" spans="1:15" ht="15" x14ac:dyDescent="0.25">
      <c r="A5" s="99"/>
      <c r="B5" s="106" t="s">
        <v>2250</v>
      </c>
      <c r="C5" s="198"/>
    </row>
    <row r="6" spans="1:15" ht="40.35" customHeight="1" x14ac:dyDescent="0.25">
      <c r="C6" s="204" t="s">
        <v>1611</v>
      </c>
      <c r="D6" s="204"/>
      <c r="G6" s="154"/>
      <c r="H6" s="154"/>
      <c r="I6" s="154"/>
      <c r="J6" s="154"/>
    </row>
    <row r="7" spans="1:15" ht="18" x14ac:dyDescent="0.2">
      <c r="C7" s="809" t="s">
        <v>99</v>
      </c>
      <c r="G7" s="154"/>
      <c r="H7" s="154"/>
    </row>
    <row r="8" spans="1:15" ht="39.6" customHeight="1" x14ac:dyDescent="0.2">
      <c r="B8" s="197"/>
      <c r="C8" s="350" t="s">
        <v>94</v>
      </c>
      <c r="K8" s="28"/>
    </row>
    <row r="9" spans="1:15" ht="38.25" x14ac:dyDescent="0.2">
      <c r="A9" s="195"/>
      <c r="B9" s="195"/>
      <c r="C9" s="194"/>
      <c r="D9" s="195"/>
      <c r="E9" s="195"/>
      <c r="F9" s="195"/>
      <c r="G9" s="195"/>
      <c r="H9" s="195"/>
      <c r="I9" s="756" t="s">
        <v>1614</v>
      </c>
      <c r="J9" s="813" t="s">
        <v>1615</v>
      </c>
      <c r="K9" s="88"/>
    </row>
    <row r="10" spans="1:15" ht="23.85" customHeight="1" x14ac:dyDescent="0.2">
      <c r="A10" s="28"/>
      <c r="B10" s="28"/>
      <c r="C10" s="28"/>
      <c r="D10" s="28"/>
      <c r="E10" s="28"/>
      <c r="F10" s="28"/>
      <c r="G10" s="274"/>
      <c r="H10" s="274"/>
      <c r="I10" s="887" t="s">
        <v>20</v>
      </c>
      <c r="J10" s="887" t="s">
        <v>19</v>
      </c>
      <c r="K10" s="58"/>
      <c r="M10" s="9" t="s">
        <v>1612</v>
      </c>
      <c r="N10" s="9" t="s">
        <v>1613</v>
      </c>
    </row>
    <row r="11" spans="1:15" ht="12.6" customHeight="1" x14ac:dyDescent="0.2">
      <c r="A11" s="99"/>
      <c r="H11" s="810"/>
      <c r="I11" s="88"/>
      <c r="K11" s="31"/>
      <c r="M11" s="27"/>
      <c r="N11" s="27"/>
      <c r="O11" s="99"/>
    </row>
    <row r="12" spans="1:15" ht="22.5" customHeight="1" x14ac:dyDescent="0.25">
      <c r="A12" s="935" t="s">
        <v>1306</v>
      </c>
      <c r="B12" s="1690" t="s">
        <v>1847</v>
      </c>
      <c r="C12" s="1690"/>
      <c r="D12" s="1690"/>
      <c r="E12" s="1690"/>
      <c r="F12" s="1690"/>
      <c r="G12" s="1690"/>
      <c r="H12" s="459"/>
      <c r="I12" s="814">
        <v>875000</v>
      </c>
      <c r="J12" s="814">
        <v>487500</v>
      </c>
      <c r="K12" s="229" t="s">
        <v>241</v>
      </c>
      <c r="M12" s="2"/>
      <c r="N12" s="2"/>
    </row>
    <row r="13" spans="1:15" ht="22.5" customHeight="1" x14ac:dyDescent="0.2">
      <c r="A13" s="812"/>
      <c r="B13" s="811"/>
      <c r="C13" s="171"/>
      <c r="D13" s="171"/>
      <c r="E13" s="171"/>
      <c r="F13" s="171"/>
      <c r="G13" s="171"/>
      <c r="I13" s="815"/>
      <c r="J13" s="816"/>
      <c r="K13" s="31"/>
      <c r="M13" s="2"/>
      <c r="N13" s="2"/>
    </row>
    <row r="14" spans="1:15" ht="22.5" customHeight="1" thickBot="1" x14ac:dyDescent="0.3">
      <c r="A14" s="936" t="s">
        <v>197</v>
      </c>
      <c r="B14" s="1691" t="s">
        <v>1846</v>
      </c>
      <c r="C14" s="1691"/>
      <c r="D14" s="1691"/>
      <c r="E14" s="1691"/>
      <c r="F14" s="1691"/>
      <c r="G14" s="1691"/>
      <c r="I14" s="817">
        <f>I15+I16+I17+I18</f>
        <v>265000</v>
      </c>
      <c r="J14" s="818">
        <f>J15+J16+J17+J18</f>
        <v>362500</v>
      </c>
      <c r="K14" s="31">
        <v>1</v>
      </c>
      <c r="M14" s="2" t="str">
        <f t="shared" ref="M14:N18" si="0">IF(I14&gt;=0,"OK","ERROR")</f>
        <v>OK</v>
      </c>
      <c r="N14" s="2" t="str">
        <f t="shared" si="0"/>
        <v>OK</v>
      </c>
    </row>
    <row r="15" spans="1:15" ht="22.5" customHeight="1" thickTop="1" x14ac:dyDescent="0.2">
      <c r="A15" s="937" t="s">
        <v>1517</v>
      </c>
      <c r="B15" s="1692" t="s">
        <v>1616</v>
      </c>
      <c r="C15" s="1692"/>
      <c r="D15" s="1692"/>
      <c r="E15" s="1692"/>
      <c r="F15" s="1692"/>
      <c r="G15" s="1692"/>
      <c r="I15" s="33">
        <v>250000</v>
      </c>
      <c r="J15" s="927">
        <f>I15*100%</f>
        <v>250000</v>
      </c>
      <c r="K15" s="31">
        <v>2</v>
      </c>
      <c r="M15" s="2" t="str">
        <f t="shared" si="0"/>
        <v>OK</v>
      </c>
      <c r="N15" s="2" t="str">
        <f t="shared" si="0"/>
        <v>OK</v>
      </c>
    </row>
    <row r="16" spans="1:15" ht="22.5" customHeight="1" x14ac:dyDescent="0.2">
      <c r="A16" s="937" t="s">
        <v>1525</v>
      </c>
      <c r="B16" s="1692" t="s">
        <v>1617</v>
      </c>
      <c r="C16" s="1692"/>
      <c r="D16" s="1692"/>
      <c r="E16" s="1692"/>
      <c r="F16" s="1692"/>
      <c r="G16" s="1692"/>
      <c r="I16" s="33">
        <v>10000</v>
      </c>
      <c r="J16" s="928">
        <f>I16*625%</f>
        <v>62500</v>
      </c>
      <c r="K16" s="31">
        <v>3</v>
      </c>
      <c r="M16" s="2" t="str">
        <f t="shared" si="0"/>
        <v>OK</v>
      </c>
      <c r="N16" s="2" t="str">
        <f t="shared" si="0"/>
        <v>OK</v>
      </c>
    </row>
    <row r="17" spans="1:14" ht="22.5" customHeight="1" x14ac:dyDescent="0.2">
      <c r="A17" s="937" t="s">
        <v>1618</v>
      </c>
      <c r="B17" s="1692" t="s">
        <v>1619</v>
      </c>
      <c r="C17" s="1692"/>
      <c r="D17" s="1692"/>
      <c r="E17" s="1692"/>
      <c r="F17" s="1692"/>
      <c r="G17" s="1692"/>
      <c r="I17" s="33">
        <v>4000</v>
      </c>
      <c r="J17" s="928">
        <f>I17*937.5%</f>
        <v>37500</v>
      </c>
      <c r="K17" s="31">
        <v>4</v>
      </c>
      <c r="M17" s="2" t="str">
        <f t="shared" si="0"/>
        <v>OK</v>
      </c>
      <c r="N17" s="2" t="str">
        <f t="shared" si="0"/>
        <v>OK</v>
      </c>
    </row>
    <row r="18" spans="1:14" ht="22.5" customHeight="1" x14ac:dyDescent="0.2">
      <c r="A18" s="937" t="s">
        <v>550</v>
      </c>
      <c r="B18" s="1692" t="s">
        <v>1620</v>
      </c>
      <c r="C18" s="1692"/>
      <c r="D18" s="1692"/>
      <c r="E18" s="1692"/>
      <c r="F18" s="1692"/>
      <c r="G18" s="1692"/>
      <c r="I18" s="33">
        <v>1000</v>
      </c>
      <c r="J18" s="928">
        <f>I18*1250%</f>
        <v>12500</v>
      </c>
      <c r="K18" s="31">
        <v>5</v>
      </c>
      <c r="M18" s="2" t="str">
        <f t="shared" si="0"/>
        <v>OK</v>
      </c>
      <c r="N18" s="2" t="str">
        <f t="shared" si="0"/>
        <v>OK</v>
      </c>
    </row>
    <row r="19" spans="1:14" x14ac:dyDescent="0.2">
      <c r="A19" s="107"/>
      <c r="I19" s="62"/>
      <c r="J19" s="62"/>
      <c r="K19" s="62"/>
    </row>
    <row r="20" spans="1:14" ht="22.5" customHeight="1" x14ac:dyDescent="0.25">
      <c r="A20" s="936" t="s">
        <v>199</v>
      </c>
      <c r="B20" s="1688" t="s">
        <v>1845</v>
      </c>
      <c r="C20" s="1688"/>
      <c r="D20" s="1688"/>
      <c r="E20" s="1688"/>
      <c r="F20" s="1688"/>
      <c r="G20" s="1688"/>
      <c r="H20" s="459"/>
      <c r="I20" s="814">
        <v>610000</v>
      </c>
      <c r="J20" s="814">
        <v>125000</v>
      </c>
      <c r="K20" s="229" t="s">
        <v>241</v>
      </c>
      <c r="M20" s="2" t="str">
        <f t="shared" ref="M20:N22" si="1">IF(I20&gt;=0,"OK","ERROR")</f>
        <v>OK</v>
      </c>
      <c r="N20" s="2" t="str">
        <f t="shared" si="1"/>
        <v>OK</v>
      </c>
    </row>
    <row r="21" spans="1:14" ht="22.5" customHeight="1" x14ac:dyDescent="0.2">
      <c r="A21" s="937" t="s">
        <v>554</v>
      </c>
      <c r="B21" s="1689" t="s">
        <v>1621</v>
      </c>
      <c r="C21" s="1689"/>
      <c r="D21" s="1689"/>
      <c r="E21" s="1689"/>
      <c r="F21" s="1689"/>
      <c r="G21" s="1689"/>
      <c r="H21" s="459"/>
      <c r="I21" s="159">
        <v>600000</v>
      </c>
      <c r="J21" s="869"/>
      <c r="K21" s="229" t="s">
        <v>241</v>
      </c>
      <c r="M21" s="2" t="str">
        <f t="shared" si="1"/>
        <v>OK</v>
      </c>
      <c r="N21" s="2" t="str">
        <f t="shared" si="1"/>
        <v>OK</v>
      </c>
    </row>
    <row r="22" spans="1:14" ht="22.5" customHeight="1" x14ac:dyDescent="0.2">
      <c r="A22" s="937" t="s">
        <v>559</v>
      </c>
      <c r="B22" s="1689" t="s">
        <v>1622</v>
      </c>
      <c r="C22" s="1689"/>
      <c r="D22" s="1689"/>
      <c r="E22" s="1689"/>
      <c r="F22" s="1689"/>
      <c r="G22" s="1689"/>
      <c r="H22" s="459"/>
      <c r="I22" s="159">
        <v>10000</v>
      </c>
      <c r="J22" s="159">
        <f>I22*1250%</f>
        <v>125000</v>
      </c>
      <c r="K22" s="229" t="s">
        <v>241</v>
      </c>
      <c r="M22" s="2" t="str">
        <f t="shared" si="1"/>
        <v>OK</v>
      </c>
      <c r="N22" s="2" t="str">
        <f t="shared" si="1"/>
        <v>OK</v>
      </c>
    </row>
    <row r="23" spans="1:14" x14ac:dyDescent="0.2">
      <c r="J23" s="896"/>
    </row>
    <row r="24" spans="1:14" ht="18.75" customHeight="1" x14ac:dyDescent="0.2">
      <c r="B24" s="26" t="str">
        <f>"Version: "&amp;D29</f>
        <v>Version: 2.00.E0</v>
      </c>
      <c r="K24" s="143" t="s">
        <v>25</v>
      </c>
      <c r="M24" s="99"/>
      <c r="N24" s="99"/>
    </row>
    <row r="26" spans="1:14" x14ac:dyDescent="0.2">
      <c r="A26" s="21"/>
      <c r="B26" s="237"/>
      <c r="C26" s="20" t="s">
        <v>24</v>
      </c>
      <c r="D26" s="19" t="str">
        <f>J2</f>
        <v>XXXXXX</v>
      </c>
    </row>
    <row r="27" spans="1:14" x14ac:dyDescent="0.2">
      <c r="A27" s="15"/>
      <c r="B27" s="61"/>
      <c r="C27" s="9"/>
      <c r="D27" s="239" t="str">
        <f>J1</f>
        <v>P_SETT</v>
      </c>
    </row>
    <row r="28" spans="1:14" x14ac:dyDescent="0.2">
      <c r="A28" s="15"/>
      <c r="B28" s="61"/>
      <c r="C28" s="9"/>
      <c r="D28" s="239" t="str">
        <f>J3</f>
        <v>DD.MM.YYYY</v>
      </c>
    </row>
    <row r="29" spans="1:14" x14ac:dyDescent="0.2">
      <c r="A29" s="15"/>
      <c r="B29" s="61"/>
      <c r="C29" s="9"/>
      <c r="D29" s="16" t="s">
        <v>1606</v>
      </c>
    </row>
    <row r="30" spans="1:14" x14ac:dyDescent="0.2">
      <c r="A30" s="15"/>
      <c r="B30" s="61"/>
      <c r="C30" s="9"/>
      <c r="D30" s="216" t="str">
        <f>I10</f>
        <v>col. 03</v>
      </c>
    </row>
    <row r="31" spans="1:14" x14ac:dyDescent="0.2">
      <c r="A31" s="13"/>
      <c r="B31" s="212"/>
      <c r="C31" s="12"/>
      <c r="D31" s="241" t="e">
        <f>COUNTIF(#REF!,"ERROR")</f>
        <v>#REF!</v>
      </c>
    </row>
    <row r="32" spans="1:14" x14ac:dyDescent="0.2">
      <c r="A32" s="9"/>
      <c r="B32" s="61"/>
      <c r="C32" s="8"/>
      <c r="D32" s="9"/>
    </row>
    <row r="33" spans="1:4" x14ac:dyDescent="0.2">
      <c r="A33" s="9"/>
      <c r="B33" s="242">
        <f>COUNTIF(L9:L24,"WARNUNG")</f>
        <v>0</v>
      </c>
      <c r="C33" s="8"/>
      <c r="D33" s="9"/>
    </row>
  </sheetData>
  <mergeCells count="9">
    <mergeCell ref="B20:G20"/>
    <mergeCell ref="B21:G21"/>
    <mergeCell ref="B22:G22"/>
    <mergeCell ref="B12:G12"/>
    <mergeCell ref="B14:G14"/>
    <mergeCell ref="B15:G15"/>
    <mergeCell ref="B16:G16"/>
    <mergeCell ref="B17:G17"/>
    <mergeCell ref="B18:G18"/>
  </mergeCells>
  <printOptions gridLines="1" gridLinesSet="0"/>
  <pageMargins left="0.39370078740157483" right="0.39370078740157483" top="0.39370078740157483" bottom="0.39370078740157483" header="0.31496062992125984" footer="0.31496062992125984"/>
  <pageSetup paperSize="9" scale="62" fitToHeight="2" pageOrder="overThenDown" orientation="portrait" horizontalDpi="4294967292" verticalDpi="4294967292" r:id="rId1"/>
  <headerFooter alignWithMargins="0">
    <oddFooter>&amp;L&amp;"Arial,Fett"SNB Confidential&amp;C&amp;D&amp;RPage &amp;P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Tabelle28">
    <tabColor rgb="FFFF0000"/>
    <pageSetUpPr fitToPage="1"/>
  </sheetPr>
  <dimension ref="A1:N33"/>
  <sheetViews>
    <sheetView zoomScale="90" zoomScaleNormal="90" workbookViewId="0">
      <selection activeCell="A5" sqref="A5"/>
    </sheetView>
  </sheetViews>
  <sheetFormatPr defaultColWidth="13.42578125" defaultRowHeight="12.75" x14ac:dyDescent="0.2"/>
  <cols>
    <col min="1" max="1" width="13" style="153" customWidth="1"/>
    <col min="2" max="2" width="32.5703125" style="713" customWidth="1"/>
    <col min="3" max="3" width="13.42578125" style="713" customWidth="1"/>
    <col min="4" max="4" width="14.42578125" style="713" customWidth="1"/>
    <col min="5" max="5" width="10.5703125" style="713" customWidth="1"/>
    <col min="6" max="6" width="6.42578125" style="713" customWidth="1"/>
    <col min="7" max="7" width="13.5703125" style="713" customWidth="1"/>
    <col min="8" max="8" width="1.5703125" style="713" customWidth="1"/>
    <col min="9" max="10" width="25.5703125" style="713" customWidth="1"/>
    <col min="11" max="11" width="4.5703125" style="713" customWidth="1"/>
    <col min="12" max="12" width="5.42578125" style="713" customWidth="1"/>
    <col min="13" max="16384" width="13.42578125" style="713"/>
  </cols>
  <sheetData>
    <row r="1" spans="1:14" ht="25.35" customHeight="1" x14ac:dyDescent="0.2">
      <c r="I1" s="718" t="s">
        <v>100</v>
      </c>
      <c r="J1" s="103" t="s">
        <v>1623</v>
      </c>
    </row>
    <row r="2" spans="1:14" ht="25.35" customHeight="1" x14ac:dyDescent="0.2">
      <c r="A2" s="819"/>
      <c r="B2" s="99"/>
      <c r="I2" s="718" t="s">
        <v>98</v>
      </c>
      <c r="J2" s="203" t="s">
        <v>119</v>
      </c>
    </row>
    <row r="3" spans="1:14" ht="25.35" customHeight="1" x14ac:dyDescent="0.2">
      <c r="I3" s="718" t="s">
        <v>96</v>
      </c>
      <c r="J3" s="201" t="s">
        <v>121</v>
      </c>
    </row>
    <row r="4" spans="1:14" ht="14.25" x14ac:dyDescent="0.2">
      <c r="A4" s="819"/>
      <c r="C4" s="200"/>
    </row>
    <row r="5" spans="1:14" ht="15" x14ac:dyDescent="0.25">
      <c r="A5" s="819"/>
      <c r="C5" s="198"/>
    </row>
    <row r="6" spans="1:14" ht="40.35" customHeight="1" x14ac:dyDescent="0.25">
      <c r="A6" s="820"/>
      <c r="B6" s="462"/>
      <c r="C6" s="821" t="s">
        <v>1624</v>
      </c>
      <c r="D6" s="821"/>
      <c r="E6" s="462"/>
      <c r="F6" s="462"/>
      <c r="G6" s="490"/>
      <c r="H6" s="490"/>
      <c r="I6" s="490"/>
      <c r="J6" s="490"/>
      <c r="K6" s="462"/>
      <c r="L6" s="462"/>
      <c r="M6" s="462"/>
      <c r="N6" s="462"/>
    </row>
    <row r="7" spans="1:14" ht="18" x14ac:dyDescent="0.2">
      <c r="A7" s="820"/>
      <c r="B7" s="462"/>
      <c r="C7" s="822" t="s">
        <v>99</v>
      </c>
      <c r="D7" s="462"/>
      <c r="E7" s="462"/>
      <c r="F7" s="462"/>
      <c r="G7" s="490"/>
      <c r="H7" s="490"/>
      <c r="I7" s="462"/>
      <c r="J7" s="462"/>
      <c r="K7" s="462"/>
      <c r="L7" s="462"/>
      <c r="M7" s="462"/>
      <c r="N7" s="462"/>
    </row>
    <row r="8" spans="1:14" ht="39.6" customHeight="1" x14ac:dyDescent="0.2">
      <c r="A8" s="820"/>
      <c r="B8" s="823"/>
      <c r="C8" s="824" t="s">
        <v>94</v>
      </c>
      <c r="D8" s="462"/>
      <c r="E8" s="462"/>
      <c r="F8" s="462"/>
      <c r="G8" s="462"/>
      <c r="H8" s="462"/>
      <c r="I8" s="462"/>
      <c r="J8" s="462"/>
      <c r="K8" s="481"/>
      <c r="L8" s="462"/>
      <c r="M8" s="462"/>
      <c r="N8" s="462"/>
    </row>
    <row r="9" spans="1:14" ht="25.5" x14ac:dyDescent="0.2">
      <c r="A9" s="825"/>
      <c r="B9" s="826" t="s">
        <v>193</v>
      </c>
      <c r="C9" s="827"/>
      <c r="D9" s="828"/>
      <c r="E9" s="828"/>
      <c r="F9" s="828"/>
      <c r="G9" s="828"/>
      <c r="H9" s="828"/>
      <c r="I9" s="714" t="s">
        <v>1357</v>
      </c>
      <c r="J9" s="714" t="s">
        <v>1625</v>
      </c>
      <c r="K9" s="754"/>
      <c r="L9" s="462"/>
      <c r="M9" s="462"/>
      <c r="N9" s="462"/>
    </row>
    <row r="10" spans="1:14" ht="41.25" customHeight="1" x14ac:dyDescent="0.2">
      <c r="A10" s="829"/>
      <c r="B10" s="481"/>
      <c r="C10" s="481"/>
      <c r="D10" s="481"/>
      <c r="E10" s="481"/>
      <c r="F10" s="481"/>
      <c r="G10" s="830"/>
      <c r="H10" s="830"/>
      <c r="I10" s="190" t="s">
        <v>22</v>
      </c>
      <c r="J10" s="190" t="s">
        <v>21</v>
      </c>
      <c r="K10" s="757"/>
      <c r="L10" s="462"/>
      <c r="M10" s="462" t="s">
        <v>195</v>
      </c>
      <c r="N10" s="462"/>
    </row>
    <row r="11" spans="1:14" ht="7.5" customHeight="1" x14ac:dyDescent="0.2">
      <c r="A11" s="831"/>
      <c r="B11" s="1694"/>
      <c r="C11" s="1694"/>
      <c r="D11" s="1694"/>
      <c r="E11" s="1694"/>
      <c r="F11" s="1694"/>
      <c r="G11" s="1694"/>
      <c r="H11" s="832"/>
      <c r="I11" s="754"/>
      <c r="J11" s="462"/>
      <c r="K11" s="361"/>
      <c r="L11" s="462"/>
      <c r="M11" s="461"/>
      <c r="N11" s="462"/>
    </row>
    <row r="12" spans="1:14" ht="25.35" customHeight="1" thickBot="1" x14ac:dyDescent="0.25">
      <c r="A12" s="833" t="s">
        <v>1482</v>
      </c>
      <c r="B12" s="1695" t="s">
        <v>1626</v>
      </c>
      <c r="C12" s="1695"/>
      <c r="D12" s="1695"/>
      <c r="E12" s="1695"/>
      <c r="F12" s="1695"/>
      <c r="G12" s="1695"/>
      <c r="H12" s="462"/>
      <c r="I12" s="365">
        <f>SUM(I13:I16)</f>
        <v>40000000</v>
      </c>
      <c r="J12" s="365">
        <f>SUM(J13:J16)</f>
        <v>50000000</v>
      </c>
      <c r="K12" s="361">
        <v>1</v>
      </c>
      <c r="L12" s="462"/>
      <c r="M12" s="470" t="str">
        <f>IF(I12&gt;=0,"OK","ERROR")</f>
        <v>OK</v>
      </c>
      <c r="N12" s="470" t="str">
        <f>IF(J12&gt;=0,"OK","ERROR")</f>
        <v>OK</v>
      </c>
    </row>
    <row r="13" spans="1:14" ht="20.100000000000001" customHeight="1" thickTop="1" x14ac:dyDescent="0.2">
      <c r="A13" s="509" t="s">
        <v>197</v>
      </c>
      <c r="B13" s="1693" t="s">
        <v>1627</v>
      </c>
      <c r="C13" s="1693"/>
      <c r="D13" s="1693"/>
      <c r="E13" s="1693"/>
      <c r="F13" s="1693"/>
      <c r="G13" s="1693"/>
      <c r="H13" s="462"/>
      <c r="I13" s="834"/>
      <c r="J13" s="164">
        <v>40000000</v>
      </c>
      <c r="K13" s="361">
        <v>2</v>
      </c>
      <c r="L13" s="462"/>
      <c r="M13" s="462"/>
      <c r="N13" s="470" t="str">
        <f>IF(AND(J13&lt;=J12,J13&gt;=0),"OK","ERROR")</f>
        <v>OK</v>
      </c>
    </row>
    <row r="14" spans="1:14" ht="20.100000000000001" customHeight="1" x14ac:dyDescent="0.2">
      <c r="A14" s="509" t="s">
        <v>199</v>
      </c>
      <c r="B14" s="1693" t="s">
        <v>1628</v>
      </c>
      <c r="C14" s="1693"/>
      <c r="D14" s="1693"/>
      <c r="E14" s="1693"/>
      <c r="F14" s="1693"/>
      <c r="G14" s="1693"/>
      <c r="H14" s="462"/>
      <c r="I14" s="164">
        <v>4000000</v>
      </c>
      <c r="J14" s="164">
        <v>5000000</v>
      </c>
      <c r="K14" s="361">
        <v>3</v>
      </c>
      <c r="L14" s="462"/>
      <c r="M14" s="470" t="str">
        <f>IF(AND(I14&lt;=I12,I14&gt;=0),"OK","ERROR")</f>
        <v>OK</v>
      </c>
      <c r="N14" s="470" t="str">
        <f>IF(AND(J14&lt;=J12,J14&gt;=0),"OK","ERROR")</f>
        <v>OK</v>
      </c>
    </row>
    <row r="15" spans="1:14" ht="20.100000000000001" customHeight="1" x14ac:dyDescent="0.2">
      <c r="A15" s="509" t="s">
        <v>200</v>
      </c>
      <c r="B15" s="1693" t="s">
        <v>1629</v>
      </c>
      <c r="C15" s="1693"/>
      <c r="D15" s="1693"/>
      <c r="E15" s="1693"/>
      <c r="F15" s="1693"/>
      <c r="G15" s="1693"/>
      <c r="H15" s="462"/>
      <c r="I15" s="164">
        <v>1000000</v>
      </c>
      <c r="J15" s="164">
        <v>1000000</v>
      </c>
      <c r="K15" s="361">
        <v>4</v>
      </c>
      <c r="L15" s="462"/>
      <c r="M15" s="470" t="str">
        <f>IF(AND(I15&lt;=I12,I15&gt;=0),"OK","ERROR")</f>
        <v>OK</v>
      </c>
      <c r="N15" s="470" t="str">
        <f>IF(AND(J15&lt;=J12,J15&gt;=0),"OK","ERROR")</f>
        <v>OK</v>
      </c>
    </row>
    <row r="16" spans="1:14" ht="20.100000000000001" customHeight="1" x14ac:dyDescent="0.2">
      <c r="A16" s="509" t="s">
        <v>201</v>
      </c>
      <c r="B16" s="1693" t="s">
        <v>1630</v>
      </c>
      <c r="C16" s="1693"/>
      <c r="D16" s="1693"/>
      <c r="E16" s="1693"/>
      <c r="F16" s="1693"/>
      <c r="G16" s="1693"/>
      <c r="H16" s="462"/>
      <c r="I16" s="164">
        <v>35000000</v>
      </c>
      <c r="J16" s="164">
        <v>4000000</v>
      </c>
      <c r="K16" s="361">
        <v>5</v>
      </c>
      <c r="L16" s="462"/>
      <c r="M16" s="470" t="str">
        <f>IF(AND(I16&lt;=I12,I16&gt;=0),"OK","ERROR")</f>
        <v>OK</v>
      </c>
      <c r="N16" s="470" t="str">
        <f>IF(AND(J16&lt;=J12,J16&gt;=0),"OK","ERROR")</f>
        <v>OK</v>
      </c>
    </row>
    <row r="17" spans="1:14" s="1" customFormat="1" ht="7.5" customHeight="1" x14ac:dyDescent="0.2">
      <c r="A17" s="835"/>
      <c r="B17" s="1697"/>
      <c r="C17" s="1697"/>
      <c r="D17" s="1697"/>
      <c r="E17" s="1697"/>
      <c r="F17" s="1697"/>
      <c r="G17" s="1697"/>
      <c r="H17" s="836"/>
      <c r="I17" s="837"/>
      <c r="J17" s="838"/>
      <c r="K17" s="232"/>
      <c r="L17" s="839"/>
      <c r="M17" s="232"/>
      <c r="N17" s="502"/>
    </row>
    <row r="18" spans="1:14" ht="31.35" customHeight="1" x14ac:dyDescent="0.2">
      <c r="A18" s="833">
        <v>2</v>
      </c>
      <c r="B18" s="1695" t="s">
        <v>1631</v>
      </c>
      <c r="C18" s="1695"/>
      <c r="D18" s="1695"/>
      <c r="E18" s="1695"/>
      <c r="F18" s="1695"/>
      <c r="G18" s="1695"/>
      <c r="H18" s="462"/>
      <c r="I18" s="164">
        <v>100000</v>
      </c>
      <c r="J18" s="164">
        <v>200000</v>
      </c>
      <c r="K18" s="840">
        <v>6</v>
      </c>
      <c r="L18" s="462"/>
      <c r="M18" s="470" t="str">
        <f>IF(I18&gt;=0,"OK","ERROR")</f>
        <v>OK</v>
      </c>
      <c r="N18" s="470" t="str">
        <f>IF(J18&gt;=0,"OK","ERROR")</f>
        <v>OK</v>
      </c>
    </row>
    <row r="19" spans="1:14" s="1" customFormat="1" ht="7.5" customHeight="1" x14ac:dyDescent="0.2">
      <c r="A19" s="835"/>
      <c r="B19" s="1697"/>
      <c r="C19" s="1697"/>
      <c r="D19" s="1697"/>
      <c r="E19" s="1697"/>
      <c r="F19" s="1697"/>
      <c r="G19" s="1697"/>
      <c r="H19" s="836"/>
      <c r="I19" s="837"/>
      <c r="J19" s="838"/>
      <c r="K19" s="232"/>
      <c r="L19" s="839"/>
      <c r="M19" s="232"/>
      <c r="N19" s="502"/>
    </row>
    <row r="20" spans="1:14" ht="31.35" customHeight="1" x14ac:dyDescent="0.2">
      <c r="A20" s="833">
        <v>3</v>
      </c>
      <c r="B20" s="1695" t="s">
        <v>1632</v>
      </c>
      <c r="C20" s="1695"/>
      <c r="D20" s="1695"/>
      <c r="E20" s="1695"/>
      <c r="F20" s="1695"/>
      <c r="G20" s="1695"/>
      <c r="H20" s="462"/>
      <c r="I20" s="164">
        <v>30000000</v>
      </c>
      <c r="J20" s="164">
        <v>50000000</v>
      </c>
      <c r="K20" s="840">
        <v>7</v>
      </c>
      <c r="L20" s="462"/>
      <c r="M20" s="470" t="str">
        <f>IF(I20&gt;=0,"OK","ERROR")</f>
        <v>OK</v>
      </c>
      <c r="N20" s="470" t="str">
        <f>IF(J20&gt;=0,"OK","ERROR")</f>
        <v>OK</v>
      </c>
    </row>
    <row r="21" spans="1:14" s="1" customFormat="1" ht="7.5" customHeight="1" x14ac:dyDescent="0.2">
      <c r="A21" s="835"/>
      <c r="B21" s="1697"/>
      <c r="C21" s="1697"/>
      <c r="D21" s="1697"/>
      <c r="E21" s="1697"/>
      <c r="F21" s="1697"/>
      <c r="G21" s="1697"/>
      <c r="H21" s="836"/>
      <c r="I21" s="837"/>
      <c r="J21" s="838"/>
      <c r="K21" s="232"/>
      <c r="L21" s="839"/>
      <c r="M21" s="232"/>
      <c r="N21" s="502"/>
    </row>
    <row r="22" spans="1:14" ht="31.35" customHeight="1" x14ac:dyDescent="0.2">
      <c r="A22" s="833">
        <v>4</v>
      </c>
      <c r="B22" s="1695" t="s">
        <v>1633</v>
      </c>
      <c r="C22" s="1695"/>
      <c r="D22" s="1695"/>
      <c r="E22" s="1695"/>
      <c r="F22" s="1695"/>
      <c r="G22" s="1695"/>
      <c r="H22" s="462"/>
      <c r="I22" s="164">
        <v>20000000</v>
      </c>
      <c r="J22" s="164">
        <v>10000000</v>
      </c>
      <c r="K22" s="840">
        <v>8</v>
      </c>
      <c r="L22" s="462"/>
      <c r="M22" s="470" t="str">
        <f>IF(I22&gt;=0,"OK","ERROR")</f>
        <v>OK</v>
      </c>
      <c r="N22" s="470" t="str">
        <f>IF(J22&gt;=0,"OK","ERROR")</f>
        <v>OK</v>
      </c>
    </row>
    <row r="23" spans="1:14" ht="7.5" customHeight="1" x14ac:dyDescent="0.2">
      <c r="A23" s="841"/>
      <c r="B23" s="1696"/>
      <c r="C23" s="1696"/>
      <c r="D23" s="1696"/>
      <c r="E23" s="1696"/>
      <c r="F23" s="1696"/>
      <c r="G23" s="1696"/>
      <c r="H23" s="481"/>
      <c r="I23" s="481"/>
      <c r="J23" s="481"/>
      <c r="K23" s="481"/>
      <c r="L23" s="462"/>
      <c r="M23" s="461"/>
      <c r="N23" s="462"/>
    </row>
    <row r="24" spans="1:14" ht="18.75" customHeight="1" x14ac:dyDescent="0.2">
      <c r="A24" s="820"/>
      <c r="B24" s="488" t="str">
        <f>"Version: "&amp;D29</f>
        <v>Version: 2.01.E0</v>
      </c>
      <c r="C24" s="462"/>
      <c r="D24" s="462"/>
      <c r="E24" s="462"/>
      <c r="F24" s="462"/>
      <c r="G24" s="462"/>
      <c r="H24" s="462"/>
      <c r="I24" s="462"/>
      <c r="J24" s="462"/>
      <c r="K24" s="489" t="s">
        <v>25</v>
      </c>
      <c r="L24" s="462"/>
      <c r="M24" s="462"/>
      <c r="N24" s="462"/>
    </row>
    <row r="25" spans="1:14" x14ac:dyDescent="0.2">
      <c r="A25" s="820"/>
      <c r="B25" s="462"/>
      <c r="C25" s="462"/>
      <c r="D25" s="462"/>
      <c r="E25" s="462"/>
      <c r="F25" s="462"/>
      <c r="G25" s="462"/>
      <c r="H25" s="462"/>
      <c r="I25" s="462"/>
      <c r="J25" s="462"/>
      <c r="K25" s="462"/>
      <c r="L25" s="462"/>
      <c r="M25" s="462"/>
      <c r="N25" s="462"/>
    </row>
    <row r="26" spans="1:14" x14ac:dyDescent="0.2">
      <c r="A26" s="842"/>
      <c r="B26" s="843"/>
      <c r="C26" s="844" t="s">
        <v>24</v>
      </c>
      <c r="D26" s="845" t="str">
        <f>J2</f>
        <v>XXXXXX</v>
      </c>
      <c r="E26" s="462"/>
      <c r="F26" s="462"/>
      <c r="G26" s="490" t="s">
        <v>1634</v>
      </c>
      <c r="H26" s="462"/>
      <c r="I26" s="470" t="str">
        <f>IF(I12&gt;0,IF(AND(I20&gt;0,I22&gt;0),"OK","ERROR"),"OK")</f>
        <v>OK</v>
      </c>
      <c r="J26" s="470" t="str">
        <f>IF(J12&gt;0,IF(AND(J20&gt;0,J22&gt;0),"OK","ERROR"),"OK")</f>
        <v>OK</v>
      </c>
      <c r="K26" s="462"/>
      <c r="L26" s="462"/>
      <c r="M26" s="462"/>
      <c r="N26" s="462"/>
    </row>
    <row r="27" spans="1:14" x14ac:dyDescent="0.2">
      <c r="A27" s="846"/>
      <c r="B27" s="758"/>
      <c r="C27" s="232"/>
      <c r="D27" s="847" t="str">
        <f>J1</f>
        <v>P_CVA</v>
      </c>
      <c r="E27" s="462"/>
      <c r="F27" s="462"/>
      <c r="G27" s="462"/>
      <c r="H27" s="462"/>
      <c r="I27" s="462"/>
      <c r="J27" s="462"/>
      <c r="K27" s="462"/>
      <c r="L27" s="462"/>
      <c r="M27" s="462"/>
      <c r="N27" s="462"/>
    </row>
    <row r="28" spans="1:14" x14ac:dyDescent="0.2">
      <c r="A28" s="846"/>
      <c r="B28" s="758"/>
      <c r="C28" s="232"/>
      <c r="D28" s="847" t="str">
        <f>J3</f>
        <v>DD.MM.YYYY</v>
      </c>
      <c r="E28" s="462"/>
      <c r="F28" s="462"/>
      <c r="G28" s="462"/>
      <c r="H28" s="462"/>
      <c r="I28" s="462"/>
      <c r="J28" s="462"/>
      <c r="K28" s="462"/>
      <c r="L28" s="462"/>
      <c r="M28" s="462"/>
      <c r="N28" s="462"/>
    </row>
    <row r="29" spans="1:14" x14ac:dyDescent="0.2">
      <c r="A29" s="846"/>
      <c r="B29" s="758"/>
      <c r="C29" s="232"/>
      <c r="D29" s="848" t="s">
        <v>23</v>
      </c>
      <c r="E29" s="462"/>
      <c r="F29" s="462"/>
      <c r="G29" s="462"/>
      <c r="H29" s="462"/>
      <c r="I29" s="462"/>
      <c r="J29" s="462"/>
      <c r="K29" s="462"/>
      <c r="L29" s="462"/>
      <c r="M29" s="462"/>
      <c r="N29" s="462"/>
    </row>
    <row r="30" spans="1:14" x14ac:dyDescent="0.2">
      <c r="A30" s="846"/>
      <c r="B30" s="758"/>
      <c r="C30" s="232"/>
      <c r="D30" s="231" t="str">
        <f>I10</f>
        <v>col. 01</v>
      </c>
      <c r="E30" s="462"/>
      <c r="F30" s="462"/>
      <c r="G30" s="462"/>
      <c r="H30" s="462"/>
      <c r="I30" s="462"/>
      <c r="J30" s="462"/>
      <c r="K30" s="462"/>
      <c r="L30" s="462"/>
      <c r="M30" s="462"/>
      <c r="N30" s="462"/>
    </row>
    <row r="31" spans="1:14" x14ac:dyDescent="0.2">
      <c r="A31" s="849"/>
      <c r="B31" s="850"/>
      <c r="C31" s="836"/>
      <c r="D31" s="851">
        <f>COUNTIF(I12:N26,"ERROR")</f>
        <v>0</v>
      </c>
      <c r="E31" s="462"/>
      <c r="F31" s="462"/>
      <c r="G31" s="462"/>
      <c r="H31" s="462"/>
      <c r="I31" s="462"/>
      <c r="J31" s="462"/>
      <c r="K31" s="462"/>
      <c r="L31" s="462"/>
      <c r="M31" s="462"/>
      <c r="N31" s="462"/>
    </row>
    <row r="32" spans="1:14" x14ac:dyDescent="0.2">
      <c r="A32" s="852"/>
      <c r="B32" s="758"/>
      <c r="C32" s="853"/>
      <c r="D32" s="232"/>
      <c r="E32" s="462"/>
      <c r="F32" s="462"/>
      <c r="G32" s="462"/>
      <c r="H32" s="462"/>
      <c r="I32" s="462"/>
      <c r="J32" s="462"/>
      <c r="K32" s="462"/>
      <c r="L32" s="462"/>
      <c r="M32" s="462"/>
      <c r="N32" s="462"/>
    </row>
    <row r="33" spans="1:4" x14ac:dyDescent="0.2">
      <c r="A33" s="271"/>
      <c r="B33" s="242">
        <f>COUNTIF(L11:L24,"WARNUNG")</f>
        <v>0</v>
      </c>
      <c r="C33" s="8"/>
      <c r="D33" s="9"/>
    </row>
  </sheetData>
  <sheetProtection selectLockedCells="1" selectUnlockedCells="1"/>
  <mergeCells count="13">
    <mergeCell ref="B23:G23"/>
    <mergeCell ref="B17:G17"/>
    <mergeCell ref="B18:G18"/>
    <mergeCell ref="B19:G19"/>
    <mergeCell ref="B20:G20"/>
    <mergeCell ref="B21:G21"/>
    <mergeCell ref="B22:G22"/>
    <mergeCell ref="B16:G16"/>
    <mergeCell ref="B11:G11"/>
    <mergeCell ref="B12:G12"/>
    <mergeCell ref="B13:G13"/>
    <mergeCell ref="B14:G14"/>
    <mergeCell ref="B15:G15"/>
  </mergeCells>
  <printOptions gridLines="1" gridLinesSet="0"/>
  <pageMargins left="0.39370078740157483" right="0.39370078740157483" top="0.39370078740157483" bottom="0.39370078740157483" header="0.31496062992125984" footer="0.31496062992125984"/>
  <pageSetup paperSize="9" scale="59" fitToHeight="2" pageOrder="overThenDown" orientation="portrait" horizontalDpi="4294967292" verticalDpi="4294967292" r:id="rId1"/>
  <headerFooter alignWithMargins="0">
    <oddFooter>&amp;L&amp;"Arial,Fett"SNB Confidential&amp;C&amp;D&amp;RPage &amp;P</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Tabelle29">
    <tabColor rgb="FF92D050"/>
  </sheetPr>
  <dimension ref="B1:U52"/>
  <sheetViews>
    <sheetView workbookViewId="0">
      <selection activeCell="L27" sqref="L27"/>
    </sheetView>
  </sheetViews>
  <sheetFormatPr defaultColWidth="9.42578125" defaultRowHeight="12.75" x14ac:dyDescent="0.2"/>
  <cols>
    <col min="1" max="1" width="2.7109375" style="1268" customWidth="1"/>
    <col min="2" max="2" width="11.5703125" style="1268" customWidth="1"/>
    <col min="3" max="3" width="26.42578125" style="1268" customWidth="1"/>
    <col min="4" max="4" width="50" style="1268" customWidth="1"/>
    <col min="5" max="5" width="4" style="1392" bestFit="1" customWidth="1"/>
    <col min="6" max="6" width="16.5703125" style="1268" customWidth="1"/>
    <col min="7" max="7" width="15.28515625" style="1268" bestFit="1" customWidth="1"/>
    <col min="8" max="8" width="18.42578125" style="1268" customWidth="1"/>
    <col min="9" max="9" width="4" style="1268" bestFit="1" customWidth="1"/>
    <col min="10" max="10" width="9.42578125" style="1268"/>
    <col min="11" max="11" width="24.5703125" style="1269" bestFit="1" customWidth="1"/>
    <col min="12" max="12" width="44.140625" style="1268" bestFit="1" customWidth="1"/>
    <col min="13" max="16384" width="9.42578125" style="1268"/>
  </cols>
  <sheetData>
    <row r="1" spans="2:21" ht="15.75" x14ac:dyDescent="0.2">
      <c r="G1" s="718" t="s">
        <v>100</v>
      </c>
      <c r="H1" s="103" t="s">
        <v>1623</v>
      </c>
    </row>
    <row r="2" spans="2:21" ht="15.75" x14ac:dyDescent="0.2">
      <c r="G2" s="718" t="s">
        <v>98</v>
      </c>
      <c r="H2" s="203" t="s">
        <v>119</v>
      </c>
    </row>
    <row r="3" spans="2:21" ht="15.75" x14ac:dyDescent="0.2">
      <c r="G3" s="718" t="s">
        <v>96</v>
      </c>
      <c r="H3" s="201" t="s">
        <v>121</v>
      </c>
    </row>
    <row r="4" spans="2:21" s="1480" customFormat="1" ht="15.75" x14ac:dyDescent="0.2">
      <c r="G4" s="718"/>
      <c r="H4" s="1766"/>
      <c r="K4" s="1269"/>
    </row>
    <row r="5" spans="2:21" ht="26.25" customHeight="1" x14ac:dyDescent="0.25">
      <c r="F5" s="1270" t="s">
        <v>1500</v>
      </c>
    </row>
    <row r="6" spans="2:21" ht="18" x14ac:dyDescent="0.2">
      <c r="B6" s="106" t="s">
        <v>2250</v>
      </c>
      <c r="F6" s="1271" t="s">
        <v>99</v>
      </c>
    </row>
    <row r="7" spans="2:21" x14ac:dyDescent="0.2">
      <c r="F7" s="350" t="s">
        <v>94</v>
      </c>
    </row>
    <row r="8" spans="2:21" ht="14.25" x14ac:dyDescent="0.2">
      <c r="B8" s="854"/>
      <c r="D8" s="855"/>
      <c r="E8" s="855"/>
      <c r="G8" s="855"/>
    </row>
    <row r="9" spans="2:21" ht="14.25" x14ac:dyDescent="0.2">
      <c r="B9" s="854"/>
      <c r="C9" s="350"/>
      <c r="D9" s="855"/>
      <c r="E9" s="855"/>
      <c r="F9" s="855"/>
      <c r="G9" s="855"/>
    </row>
    <row r="10" spans="2:21" x14ac:dyDescent="0.2">
      <c r="B10" s="1698" t="s">
        <v>1635</v>
      </c>
      <c r="C10" s="1699"/>
      <c r="D10" s="1700"/>
      <c r="E10" s="1704"/>
      <c r="F10" s="856" t="s">
        <v>194</v>
      </c>
      <c r="G10" s="856" t="s">
        <v>354</v>
      </c>
      <c r="H10" s="856" t="s">
        <v>1636</v>
      </c>
      <c r="I10" s="1704"/>
      <c r="K10" s="860" t="s">
        <v>2047</v>
      </c>
      <c r="L10" s="1268" t="s">
        <v>2048</v>
      </c>
      <c r="N10" s="1284"/>
      <c r="O10" s="1284"/>
      <c r="P10" s="1284"/>
      <c r="Q10" s="1284"/>
      <c r="R10" s="1284"/>
      <c r="S10" s="1284"/>
      <c r="T10" s="1284"/>
      <c r="U10" s="1284"/>
    </row>
    <row r="11" spans="2:21" x14ac:dyDescent="0.2">
      <c r="B11" s="1701"/>
      <c r="C11" s="1699"/>
      <c r="D11" s="1700"/>
      <c r="E11" s="1705"/>
      <c r="F11" s="857" t="s">
        <v>19</v>
      </c>
      <c r="G11" s="857" t="s">
        <v>18</v>
      </c>
      <c r="H11" s="857" t="s">
        <v>17</v>
      </c>
      <c r="I11" s="1705"/>
      <c r="K11" s="1057" t="str">
        <f>IF(MIN(F12:H13,G19:H21,G28:H32,G39:H45)&lt;0,"ERROR","OK")</f>
        <v>OK</v>
      </c>
      <c r="L11" s="1057" t="str">
        <f>IF(AND(H1="P_CVA",SUM(F12:I13,)&gt;0,SUM(G19:H21,G28:H32,G39:H45)&gt;0),"ERROR",IF(AND(H1="C_CVA",SUM(F12:I13,)&gt;0,SUM(G19:H21,G28:H32,G39:H45)&gt;0),"WARNING","OK"))</f>
        <v>OK</v>
      </c>
      <c r="N11" s="1284"/>
      <c r="O11" s="1284"/>
      <c r="P11" s="1284"/>
      <c r="Q11" s="1284"/>
      <c r="R11" s="1284"/>
      <c r="S11" s="1284"/>
      <c r="T11" s="1284"/>
      <c r="U11" s="1284"/>
    </row>
    <row r="12" spans="2:21" ht="19.5" customHeight="1" x14ac:dyDescent="0.2">
      <c r="B12" s="1276">
        <v>1.1000000000000001</v>
      </c>
      <c r="C12" s="1706" t="s">
        <v>1637</v>
      </c>
      <c r="D12" s="1707"/>
      <c r="E12" s="858" t="s">
        <v>241</v>
      </c>
      <c r="F12" s="1272"/>
      <c r="G12" s="1272"/>
      <c r="H12" s="1452"/>
      <c r="I12" s="858" t="s">
        <v>241</v>
      </c>
      <c r="N12" s="1284"/>
      <c r="O12" s="1284"/>
      <c r="P12" s="1284"/>
      <c r="Q12" s="1284"/>
      <c r="R12" s="1284"/>
      <c r="S12" s="1284"/>
      <c r="T12" s="1284"/>
      <c r="U12" s="1284"/>
    </row>
    <row r="13" spans="2:21" ht="19.5" customHeight="1" x14ac:dyDescent="0.2">
      <c r="B13" s="1277">
        <v>1.2</v>
      </c>
      <c r="C13" s="1708" t="s">
        <v>2221</v>
      </c>
      <c r="D13" s="1709"/>
      <c r="E13" s="396" t="s">
        <v>241</v>
      </c>
      <c r="F13" s="1453"/>
      <c r="G13" s="1453"/>
      <c r="H13" s="1273"/>
      <c r="I13" s="396" t="s">
        <v>241</v>
      </c>
      <c r="K13" s="1057" t="str">
        <f>IF(F13&gt;125000000,"ERROR","OK")</f>
        <v>OK</v>
      </c>
      <c r="N13" s="1284"/>
      <c r="O13" s="1284"/>
      <c r="P13" s="1284"/>
      <c r="Q13" s="1284"/>
      <c r="R13" s="1284"/>
      <c r="S13" s="1284"/>
      <c r="T13" s="1284"/>
      <c r="U13" s="1284"/>
    </row>
    <row r="14" spans="2:21" ht="3.75" customHeight="1" x14ac:dyDescent="0.2">
      <c r="B14" s="28"/>
      <c r="C14" s="28"/>
      <c r="D14" s="28"/>
      <c r="E14" s="58"/>
      <c r="F14" s="28"/>
      <c r="G14" s="28"/>
      <c r="H14" s="877"/>
      <c r="I14" s="58"/>
    </row>
    <row r="16" spans="2:21" ht="14.25" x14ac:dyDescent="0.2">
      <c r="B16" s="854"/>
      <c r="C16" s="855"/>
      <c r="D16" s="855"/>
      <c r="F16" s="855"/>
      <c r="H16" s="855"/>
    </row>
    <row r="17" spans="2:9" ht="14.25" x14ac:dyDescent="0.2">
      <c r="B17" s="1698" t="s">
        <v>1638</v>
      </c>
      <c r="C17" s="1699"/>
      <c r="D17" s="1700"/>
      <c r="E17" s="1702"/>
      <c r="F17" s="1213"/>
      <c r="G17" s="861" t="s">
        <v>1639</v>
      </c>
      <c r="H17" s="856" t="s">
        <v>2006</v>
      </c>
      <c r="I17" s="1702"/>
    </row>
    <row r="18" spans="2:9" ht="33.75" customHeight="1" x14ac:dyDescent="0.2">
      <c r="B18" s="1701"/>
      <c r="C18" s="1699"/>
      <c r="D18" s="1700"/>
      <c r="E18" s="1703"/>
      <c r="F18" s="1214"/>
      <c r="G18" s="857" t="s">
        <v>18</v>
      </c>
      <c r="H18" s="857" t="s">
        <v>17</v>
      </c>
      <c r="I18" s="1703"/>
    </row>
    <row r="19" spans="2:9" ht="19.5" customHeight="1" x14ac:dyDescent="0.2">
      <c r="B19" s="1276">
        <v>2.1</v>
      </c>
      <c r="C19" s="1710" t="s">
        <v>1640</v>
      </c>
      <c r="D19" s="1711"/>
      <c r="E19" s="858" t="s">
        <v>241</v>
      </c>
      <c r="F19" s="1272"/>
      <c r="G19" s="1451"/>
      <c r="H19" s="1274"/>
      <c r="I19" s="858" t="s">
        <v>241</v>
      </c>
    </row>
    <row r="20" spans="2:9" ht="19.5" customHeight="1" x14ac:dyDescent="0.2">
      <c r="B20" s="1277">
        <v>2.2000000000000002</v>
      </c>
      <c r="C20" s="1708" t="s">
        <v>1641</v>
      </c>
      <c r="D20" s="1709"/>
      <c r="E20" s="396" t="s">
        <v>241</v>
      </c>
      <c r="F20" s="1273"/>
      <c r="G20" s="1447"/>
      <c r="H20" s="1275"/>
      <c r="I20" s="396" t="s">
        <v>241</v>
      </c>
    </row>
    <row r="21" spans="2:9" ht="19.5" customHeight="1" thickBot="1" x14ac:dyDescent="0.25">
      <c r="B21" s="1277">
        <v>2.2999999999999998</v>
      </c>
      <c r="C21" s="1706" t="s">
        <v>1637</v>
      </c>
      <c r="D21" s="1707"/>
      <c r="E21" s="396" t="s">
        <v>241</v>
      </c>
      <c r="F21" s="1273"/>
      <c r="G21" s="1273"/>
      <c r="H21" s="1448">
        <f>0.65*12.5*(SQRT(0.25*G19^2 +0.75*G20^2) )</f>
        <v>0</v>
      </c>
      <c r="I21" s="396" t="s">
        <v>241</v>
      </c>
    </row>
    <row r="22" spans="2:9" ht="3.75" customHeight="1" thickTop="1" x14ac:dyDescent="0.2">
      <c r="B22" s="28"/>
      <c r="C22" s="28"/>
      <c r="D22" s="877"/>
      <c r="E22" s="58"/>
      <c r="F22" s="28"/>
      <c r="G22" s="28"/>
      <c r="H22" s="877"/>
      <c r="I22" s="58"/>
    </row>
    <row r="25" spans="2:9" ht="21.6" customHeight="1" x14ac:dyDescent="0.2">
      <c r="B25" s="854"/>
      <c r="C25" s="855"/>
      <c r="D25" s="855"/>
      <c r="F25" s="855"/>
    </row>
    <row r="26" spans="2:9" ht="15.75" customHeight="1" x14ac:dyDescent="0.2">
      <c r="B26" s="1701" t="s">
        <v>1642</v>
      </c>
      <c r="C26" s="1699"/>
      <c r="D26" s="1700"/>
      <c r="E26" s="1704"/>
      <c r="F26" s="1213"/>
      <c r="G26" s="861" t="s">
        <v>1639</v>
      </c>
      <c r="H26" s="861" t="s">
        <v>2007</v>
      </c>
      <c r="I26" s="1704"/>
    </row>
    <row r="27" spans="2:9" ht="35.85" customHeight="1" x14ac:dyDescent="0.2">
      <c r="B27" s="1701"/>
      <c r="C27" s="1699"/>
      <c r="D27" s="1700"/>
      <c r="E27" s="1705"/>
      <c r="F27" s="1214"/>
      <c r="G27" s="857" t="s">
        <v>18</v>
      </c>
      <c r="H27" s="862" t="s">
        <v>17</v>
      </c>
      <c r="I27" s="1705"/>
    </row>
    <row r="28" spans="2:9" ht="19.5" customHeight="1" x14ac:dyDescent="0.2">
      <c r="B28" s="1276">
        <v>3.1</v>
      </c>
      <c r="C28" s="1710" t="s">
        <v>1640</v>
      </c>
      <c r="D28" s="1711"/>
      <c r="E28" s="858" t="s">
        <v>241</v>
      </c>
      <c r="F28" s="1272"/>
      <c r="G28" s="1451"/>
      <c r="H28" s="1274"/>
      <c r="I28" s="858" t="s">
        <v>241</v>
      </c>
    </row>
    <row r="29" spans="2:9" ht="19.5" customHeight="1" x14ac:dyDescent="0.2">
      <c r="B29" s="1277">
        <v>3.2</v>
      </c>
      <c r="C29" s="1708" t="s">
        <v>1641</v>
      </c>
      <c r="D29" s="1709"/>
      <c r="E29" s="396" t="s">
        <v>241</v>
      </c>
      <c r="F29" s="1273"/>
      <c r="G29" s="1447"/>
      <c r="H29" s="1275"/>
      <c r="I29" s="396" t="s">
        <v>241</v>
      </c>
    </row>
    <row r="30" spans="2:9" ht="19.5" customHeight="1" thickBot="1" x14ac:dyDescent="0.25">
      <c r="B30" s="1277">
        <v>3.3</v>
      </c>
      <c r="C30" s="1708" t="s">
        <v>2222</v>
      </c>
      <c r="D30" s="1709"/>
      <c r="E30" s="396" t="s">
        <v>241</v>
      </c>
      <c r="F30" s="1272"/>
      <c r="G30" s="1274"/>
      <c r="H30" s="1448">
        <f>0.65*12.5*(SQRT(0.25*G28^2+0.75*G29^2))</f>
        <v>0</v>
      </c>
      <c r="I30" s="396" t="s">
        <v>241</v>
      </c>
    </row>
    <row r="31" spans="2:9" ht="19.5" customHeight="1" thickTop="1" x14ac:dyDescent="0.2">
      <c r="B31" s="1277">
        <v>3.4</v>
      </c>
      <c r="C31" s="1708" t="s">
        <v>2223</v>
      </c>
      <c r="D31" s="1709"/>
      <c r="E31" s="396" t="s">
        <v>241</v>
      </c>
      <c r="F31" s="1273"/>
      <c r="G31" s="1273"/>
      <c r="H31" s="1450"/>
      <c r="I31" s="396" t="s">
        <v>241</v>
      </c>
    </row>
    <row r="32" spans="2:9" ht="19.5" customHeight="1" thickBot="1" x14ac:dyDescent="0.25">
      <c r="B32" s="1277">
        <v>3.5</v>
      </c>
      <c r="C32" s="1708" t="s">
        <v>274</v>
      </c>
      <c r="D32" s="1709"/>
      <c r="E32" s="396" t="s">
        <v>241</v>
      </c>
      <c r="F32" s="1273"/>
      <c r="G32" s="1273"/>
      <c r="H32" s="1448">
        <f>0.25*H30+0.75*H31</f>
        <v>0</v>
      </c>
      <c r="I32" s="396" t="s">
        <v>241</v>
      </c>
    </row>
    <row r="33" spans="2:9" ht="5.0999999999999996" customHeight="1" thickTop="1" x14ac:dyDescent="0.2">
      <c r="B33" s="28"/>
      <c r="C33" s="28"/>
      <c r="D33" s="28"/>
      <c r="E33" s="58"/>
      <c r="F33" s="28"/>
      <c r="G33" s="28"/>
      <c r="H33" s="877"/>
      <c r="I33" s="58"/>
    </row>
    <row r="36" spans="2:9" ht="14.25" x14ac:dyDescent="0.2">
      <c r="B36" s="854"/>
      <c r="C36" s="855"/>
      <c r="D36" s="855"/>
      <c r="F36" s="855"/>
    </row>
    <row r="37" spans="2:9" ht="32.1" customHeight="1" x14ac:dyDescent="0.2">
      <c r="B37" s="1701" t="s">
        <v>2241</v>
      </c>
      <c r="C37" s="1699"/>
      <c r="D37" s="1700"/>
      <c r="E37" s="1393"/>
      <c r="F37" s="1215"/>
      <c r="G37" s="1211" t="s">
        <v>1643</v>
      </c>
      <c r="H37" s="1210" t="s">
        <v>2240</v>
      </c>
      <c r="I37" s="1278"/>
    </row>
    <row r="38" spans="2:9" ht="20.100000000000001" customHeight="1" x14ac:dyDescent="0.2">
      <c r="B38" s="1701"/>
      <c r="C38" s="1699"/>
      <c r="D38" s="1700"/>
      <c r="E38" s="1394"/>
      <c r="F38" s="1216"/>
      <c r="G38" s="1212" t="s">
        <v>18</v>
      </c>
      <c r="H38" s="862" t="s">
        <v>17</v>
      </c>
      <c r="I38" s="1279"/>
    </row>
    <row r="39" spans="2:9" ht="19.5" customHeight="1" x14ac:dyDescent="0.2">
      <c r="B39" s="1429" t="s">
        <v>965</v>
      </c>
      <c r="C39" s="1710" t="s">
        <v>1644</v>
      </c>
      <c r="D39" s="1711"/>
      <c r="E39" s="858" t="s">
        <v>241</v>
      </c>
      <c r="F39" s="1280"/>
      <c r="G39" s="1272"/>
      <c r="H39" s="1446"/>
      <c r="I39" s="858" t="s">
        <v>241</v>
      </c>
    </row>
    <row r="40" spans="2:9" ht="19.5" customHeight="1" x14ac:dyDescent="0.2">
      <c r="B40" s="1277" t="s">
        <v>1316</v>
      </c>
      <c r="C40" s="1708" t="s">
        <v>1645</v>
      </c>
      <c r="D40" s="1709"/>
      <c r="E40" s="396" t="s">
        <v>241</v>
      </c>
      <c r="F40" s="1275"/>
      <c r="G40" s="1273"/>
      <c r="H40" s="1447"/>
      <c r="I40" s="396" t="s">
        <v>241</v>
      </c>
    </row>
    <row r="41" spans="2:9" ht="19.5" customHeight="1" x14ac:dyDescent="0.2">
      <c r="B41" s="1277" t="s">
        <v>1002</v>
      </c>
      <c r="C41" s="1708" t="s">
        <v>1646</v>
      </c>
      <c r="D41" s="1709"/>
      <c r="E41" s="396" t="s">
        <v>241</v>
      </c>
      <c r="F41" s="1275"/>
      <c r="G41" s="1273"/>
      <c r="H41" s="1447"/>
      <c r="I41" s="396" t="s">
        <v>241</v>
      </c>
    </row>
    <row r="42" spans="2:9" ht="19.5" customHeight="1" x14ac:dyDescent="0.2">
      <c r="B42" s="1277" t="s">
        <v>1318</v>
      </c>
      <c r="C42" s="1708" t="s">
        <v>1647</v>
      </c>
      <c r="D42" s="1709"/>
      <c r="E42" s="396" t="s">
        <v>241</v>
      </c>
      <c r="F42" s="1275"/>
      <c r="G42" s="1273"/>
      <c r="H42" s="1447"/>
      <c r="I42" s="396" t="s">
        <v>241</v>
      </c>
    </row>
    <row r="43" spans="2:9" ht="19.5" customHeight="1" x14ac:dyDescent="0.2">
      <c r="B43" s="1277" t="s">
        <v>1319</v>
      </c>
      <c r="C43" s="1708" t="s">
        <v>1263</v>
      </c>
      <c r="D43" s="1709"/>
      <c r="E43" s="396" t="s">
        <v>241</v>
      </c>
      <c r="F43" s="893"/>
      <c r="G43" s="1281"/>
      <c r="H43" s="1447"/>
      <c r="I43" s="396" t="s">
        <v>241</v>
      </c>
    </row>
    <row r="44" spans="2:9" ht="19.5" customHeight="1" x14ac:dyDescent="0.2">
      <c r="B44" s="1277" t="s">
        <v>1320</v>
      </c>
      <c r="C44" s="1708" t="s">
        <v>1648</v>
      </c>
      <c r="D44" s="1709"/>
      <c r="E44" s="396" t="s">
        <v>241</v>
      </c>
      <c r="F44" s="1275"/>
      <c r="G44" s="1273"/>
      <c r="H44" s="1447"/>
      <c r="I44" s="396" t="s">
        <v>241</v>
      </c>
    </row>
    <row r="45" spans="2:9" ht="19.5" customHeight="1" thickBot="1" x14ac:dyDescent="0.25">
      <c r="B45" s="1415" t="s">
        <v>1321</v>
      </c>
      <c r="C45" s="1706" t="s">
        <v>1649</v>
      </c>
      <c r="D45" s="1707"/>
      <c r="E45" s="396" t="s">
        <v>241</v>
      </c>
      <c r="F45" s="1275"/>
      <c r="G45" s="1449"/>
      <c r="H45" s="1448">
        <f>SUM(H39:H44)</f>
        <v>0</v>
      </c>
      <c r="I45" s="396" t="s">
        <v>241</v>
      </c>
    </row>
    <row r="46" spans="2:9" ht="5.85" customHeight="1" thickTop="1" x14ac:dyDescent="0.2">
      <c r="B46" s="28"/>
      <c r="C46" s="28"/>
      <c r="D46" s="28"/>
      <c r="E46" s="28"/>
      <c r="F46" s="28"/>
      <c r="G46" s="28"/>
      <c r="H46" s="28"/>
      <c r="I46" s="58"/>
    </row>
    <row r="52" spans="3:3" x14ac:dyDescent="0.2">
      <c r="C52" s="117"/>
    </row>
  </sheetData>
  <mergeCells count="27">
    <mergeCell ref="C28:D28"/>
    <mergeCell ref="C29:D29"/>
    <mergeCell ref="C41:D41"/>
    <mergeCell ref="C30:D30"/>
    <mergeCell ref="C31:D31"/>
    <mergeCell ref="C32:D32"/>
    <mergeCell ref="B37:D38"/>
    <mergeCell ref="C39:D39"/>
    <mergeCell ref="C42:D42"/>
    <mergeCell ref="C43:D43"/>
    <mergeCell ref="C44:D44"/>
    <mergeCell ref="C45:D45"/>
    <mergeCell ref="C40:D40"/>
    <mergeCell ref="C21:D21"/>
    <mergeCell ref="B26:D27"/>
    <mergeCell ref="I26:I27"/>
    <mergeCell ref="C19:D19"/>
    <mergeCell ref="C20:D20"/>
    <mergeCell ref="E26:E27"/>
    <mergeCell ref="B17:D18"/>
    <mergeCell ref="I17:I18"/>
    <mergeCell ref="B10:D11"/>
    <mergeCell ref="I10:I11"/>
    <mergeCell ref="C12:D12"/>
    <mergeCell ref="C13:D13"/>
    <mergeCell ref="E10:E11"/>
    <mergeCell ref="E17:E18"/>
  </mergeCells>
  <phoneticPr fontId="7" type="noConversion"/>
  <pageMargins left="0.7" right="0.7" top="0.75" bottom="0.75" header="0.3" footer="0.3"/>
  <pageSetup paperSize="9" orientation="portrait" verticalDpi="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Tabelle30">
    <tabColor rgb="FFFF0000"/>
  </sheetPr>
  <dimension ref="A1:N179"/>
  <sheetViews>
    <sheetView zoomScale="85" zoomScaleNormal="85" workbookViewId="0">
      <selection activeCell="U23" sqref="U23"/>
    </sheetView>
  </sheetViews>
  <sheetFormatPr defaultColWidth="13.42578125" defaultRowHeight="12.75" x14ac:dyDescent="0.2"/>
  <cols>
    <col min="1" max="1" width="6" style="456" customWidth="1"/>
    <col min="2" max="2" width="32.5703125" style="456" customWidth="1"/>
    <col min="3" max="3" width="13.42578125" style="456" customWidth="1"/>
    <col min="4" max="4" width="14.42578125" style="456" customWidth="1"/>
    <col min="5" max="5" width="10.5703125" style="456" customWidth="1"/>
    <col min="6" max="6" width="9" style="456" customWidth="1"/>
    <col min="7" max="7" width="10.42578125" style="456" customWidth="1"/>
    <col min="8" max="8" width="1.5703125" style="456" customWidth="1"/>
    <col min="9" max="9" width="15.42578125" style="456" customWidth="1"/>
    <col min="10" max="10" width="14.5703125" style="456" customWidth="1"/>
    <col min="11" max="11" width="15.5703125" style="456" customWidth="1"/>
    <col min="12" max="12" width="4.5703125" style="456" customWidth="1"/>
    <col min="13" max="13" width="9.42578125" style="456" customWidth="1"/>
    <col min="14" max="14" width="26.42578125" style="456" customWidth="1"/>
    <col min="15" max="16384" width="13.42578125" style="456"/>
  </cols>
  <sheetData>
    <row r="1" spans="1:14" ht="25.35" customHeight="1" x14ac:dyDescent="0.3">
      <c r="E1" s="277" t="s">
        <v>346</v>
      </c>
      <c r="J1" s="202" t="s">
        <v>100</v>
      </c>
      <c r="K1" s="103" t="s">
        <v>345</v>
      </c>
    </row>
    <row r="2" spans="1:14" ht="25.35" customHeight="1" x14ac:dyDescent="0.25">
      <c r="A2" s="99"/>
      <c r="B2" s="99"/>
      <c r="E2" s="104" t="s">
        <v>99</v>
      </c>
      <c r="J2" s="202" t="s">
        <v>98</v>
      </c>
      <c r="K2" s="203" t="s">
        <v>119</v>
      </c>
    </row>
    <row r="3" spans="1:14" ht="25.35" customHeight="1" x14ac:dyDescent="0.2">
      <c r="E3" s="1" t="s">
        <v>94</v>
      </c>
      <c r="J3" s="202" t="s">
        <v>96</v>
      </c>
      <c r="K3" s="201" t="s">
        <v>121</v>
      </c>
    </row>
    <row r="4" spans="1:14" ht="14.25" x14ac:dyDescent="0.2">
      <c r="A4" s="99"/>
      <c r="C4" s="200"/>
    </row>
    <row r="5" spans="1:14" ht="15" x14ac:dyDescent="0.25">
      <c r="A5" s="99"/>
      <c r="B5" s="106" t="s">
        <v>2250</v>
      </c>
      <c r="C5" s="198"/>
    </row>
    <row r="6" spans="1:14" ht="8.85" customHeight="1" x14ac:dyDescent="0.2">
      <c r="G6" s="154"/>
      <c r="H6" s="154"/>
      <c r="I6" s="154"/>
      <c r="J6" s="154"/>
      <c r="K6" s="154"/>
    </row>
    <row r="7" spans="1:14" ht="8.85" customHeight="1" x14ac:dyDescent="0.2">
      <c r="G7" s="154"/>
      <c r="H7" s="154"/>
      <c r="I7" s="154"/>
      <c r="J7" s="154"/>
    </row>
    <row r="8" spans="1:14" ht="16.350000000000001" customHeight="1" x14ac:dyDescent="0.2">
      <c r="B8" s="197"/>
      <c r="C8" s="196"/>
      <c r="L8" s="28"/>
    </row>
    <row r="9" spans="1:14" ht="31.35" customHeight="1" x14ac:dyDescent="0.2">
      <c r="A9" s="195"/>
      <c r="B9" s="195"/>
      <c r="C9" s="194"/>
      <c r="D9" s="195"/>
      <c r="E9" s="195"/>
      <c r="F9" s="195"/>
      <c r="G9" s="195"/>
      <c r="H9" s="195"/>
      <c r="I9" s="275" t="s">
        <v>344</v>
      </c>
      <c r="J9" s="276" t="s">
        <v>343</v>
      </c>
      <c r="K9" s="275" t="s">
        <v>194</v>
      </c>
      <c r="L9" s="88"/>
      <c r="N9" s="99" t="s">
        <v>342</v>
      </c>
    </row>
    <row r="10" spans="1:14" ht="18.75" customHeight="1" x14ac:dyDescent="0.2">
      <c r="A10" s="28"/>
      <c r="B10" s="28"/>
      <c r="C10" s="28"/>
      <c r="D10" s="28"/>
      <c r="E10" s="28"/>
      <c r="F10" s="28"/>
      <c r="G10" s="274"/>
      <c r="H10" s="274"/>
      <c r="I10" s="191" t="s">
        <v>22</v>
      </c>
      <c r="J10" s="191" t="s">
        <v>21</v>
      </c>
      <c r="K10" s="191" t="s">
        <v>20</v>
      </c>
      <c r="L10" s="58"/>
      <c r="N10" s="2" t="str">
        <f>IF(MIN(I18:K58,I71:K155,K160)&lt;0,"ERROR","OK")</f>
        <v>OK</v>
      </c>
    </row>
    <row r="11" spans="1:14" ht="12.75" customHeight="1" x14ac:dyDescent="0.2">
      <c r="A11" s="99"/>
      <c r="G11" s="195"/>
      <c r="H11" s="99"/>
      <c r="I11" s="46"/>
      <c r="J11" s="46"/>
      <c r="K11" s="46"/>
      <c r="L11" s="31"/>
    </row>
    <row r="12" spans="1:14" ht="16.5" customHeight="1" x14ac:dyDescent="0.25">
      <c r="A12" s="183"/>
      <c r="B12" s="273" t="s">
        <v>341</v>
      </c>
      <c r="G12" s="99"/>
      <c r="H12" s="99"/>
      <c r="I12" s="46"/>
      <c r="J12" s="46"/>
      <c r="K12" s="46"/>
      <c r="L12" s="31"/>
    </row>
    <row r="13" spans="1:14" ht="16.5" customHeight="1" x14ac:dyDescent="0.25">
      <c r="A13" s="183"/>
      <c r="B13" s="9" t="s">
        <v>340</v>
      </c>
      <c r="C13" s="99"/>
      <c r="D13" s="99"/>
      <c r="E13" s="99"/>
      <c r="F13" s="99"/>
      <c r="G13" s="99"/>
      <c r="H13" s="99"/>
      <c r="I13" s="46"/>
      <c r="J13" s="46"/>
      <c r="K13" s="46"/>
      <c r="L13" s="31"/>
    </row>
    <row r="14" spans="1:14" ht="16.5" customHeight="1" x14ac:dyDescent="0.25">
      <c r="A14" s="183"/>
      <c r="C14" s="99"/>
      <c r="D14" s="99"/>
      <c r="E14" s="99"/>
      <c r="F14" s="99"/>
      <c r="G14" s="99"/>
      <c r="H14" s="99"/>
      <c r="I14" s="46"/>
      <c r="J14" s="46"/>
      <c r="K14" s="46"/>
      <c r="L14" s="31"/>
    </row>
    <row r="15" spans="1:14" ht="12.75" customHeight="1" x14ac:dyDescent="0.25">
      <c r="A15" s="183"/>
      <c r="B15" s="272"/>
      <c r="G15" s="99"/>
      <c r="H15" s="99"/>
      <c r="I15" s="46"/>
      <c r="J15" s="46"/>
      <c r="K15" s="46"/>
      <c r="L15" s="31"/>
    </row>
    <row r="16" spans="1:14" ht="16.5" customHeight="1" x14ac:dyDescent="0.25">
      <c r="A16" s="182"/>
      <c r="B16" s="269"/>
      <c r="C16" s="99"/>
      <c r="D16" s="99"/>
      <c r="E16" s="99"/>
      <c r="F16" s="99"/>
      <c r="G16" s="99"/>
      <c r="H16" s="99"/>
      <c r="I16" s="46"/>
      <c r="J16" s="46"/>
      <c r="K16" s="46"/>
      <c r="L16" s="31"/>
    </row>
    <row r="17" spans="1:13" ht="16.5" customHeight="1" x14ac:dyDescent="0.25">
      <c r="A17" s="167"/>
      <c r="B17" s="253" t="s">
        <v>339</v>
      </c>
      <c r="C17" s="99"/>
      <c r="D17" s="99"/>
      <c r="E17" s="99"/>
      <c r="F17" s="99"/>
      <c r="G17" s="99"/>
      <c r="H17" s="99"/>
      <c r="I17" s="46"/>
      <c r="J17" s="46"/>
      <c r="K17" s="46"/>
      <c r="L17" s="31"/>
    </row>
    <row r="18" spans="1:13" ht="21.6" customHeight="1" x14ac:dyDescent="0.2">
      <c r="A18" s="167"/>
      <c r="B18" s="244" t="s">
        <v>338</v>
      </c>
      <c r="C18" s="171"/>
      <c r="D18" s="171"/>
      <c r="E18" s="171"/>
      <c r="F18" s="171"/>
      <c r="G18" s="171"/>
      <c r="H18" s="99"/>
      <c r="I18" s="165"/>
      <c r="J18" s="256"/>
      <c r="K18" s="33">
        <v>30000</v>
      </c>
      <c r="L18" s="31">
        <v>1</v>
      </c>
    </row>
    <row r="19" spans="1:13" ht="20.85" customHeight="1" x14ac:dyDescent="0.2">
      <c r="A19" s="167"/>
      <c r="B19" s="244" t="s">
        <v>337</v>
      </c>
      <c r="C19" s="171"/>
      <c r="D19" s="171"/>
      <c r="E19" s="171"/>
      <c r="F19" s="171"/>
      <c r="G19" s="171"/>
      <c r="H19" s="99"/>
      <c r="I19" s="165"/>
      <c r="J19" s="256"/>
      <c r="K19" s="33">
        <v>758000</v>
      </c>
      <c r="L19" s="31">
        <v>2</v>
      </c>
    </row>
    <row r="20" spans="1:13" ht="20.85" customHeight="1" x14ac:dyDescent="0.2">
      <c r="A20" s="167"/>
      <c r="B20" s="244" t="s">
        <v>336</v>
      </c>
      <c r="C20" s="171"/>
      <c r="D20" s="171"/>
      <c r="E20" s="171"/>
      <c r="F20" s="171"/>
      <c r="G20" s="171"/>
      <c r="H20" s="99"/>
      <c r="I20" s="165"/>
      <c r="J20" s="256"/>
      <c r="K20" s="33">
        <v>261000</v>
      </c>
      <c r="L20" s="31">
        <v>89</v>
      </c>
    </row>
    <row r="21" spans="1:13" ht="20.85" customHeight="1" x14ac:dyDescent="0.2">
      <c r="A21" s="167"/>
      <c r="B21" s="244" t="s">
        <v>335</v>
      </c>
      <c r="C21" s="171"/>
      <c r="D21" s="171"/>
      <c r="E21" s="171"/>
      <c r="F21" s="171"/>
      <c r="G21" s="171"/>
      <c r="H21" s="99"/>
      <c r="I21" s="165"/>
      <c r="J21" s="256"/>
      <c r="K21" s="33">
        <v>994000</v>
      </c>
      <c r="L21" s="31">
        <v>90</v>
      </c>
    </row>
    <row r="22" spans="1:13" ht="20.85" customHeight="1" thickBot="1" x14ac:dyDescent="0.25">
      <c r="A22" s="167"/>
      <c r="B22" s="465" t="s">
        <v>274</v>
      </c>
      <c r="C22" s="466"/>
      <c r="D22" s="466"/>
      <c r="E22" s="466"/>
      <c r="F22" s="466"/>
      <c r="G22" s="466"/>
      <c r="H22" s="461"/>
      <c r="I22" s="485">
        <f>I18+I19+I20+I21</f>
        <v>0</v>
      </c>
      <c r="J22" s="486"/>
      <c r="K22" s="365">
        <f>K18+K19+K20+K21</f>
        <v>2043000</v>
      </c>
      <c r="L22" s="361">
        <v>5</v>
      </c>
      <c r="M22" s="170"/>
    </row>
    <row r="23" spans="1:13" ht="14.1" customHeight="1" thickTop="1" x14ac:dyDescent="0.2">
      <c r="A23" s="177"/>
      <c r="B23" s="271"/>
      <c r="C23" s="99"/>
      <c r="D23" s="99"/>
      <c r="E23" s="99"/>
      <c r="F23" s="99"/>
      <c r="G23" s="99"/>
      <c r="H23" s="99"/>
      <c r="I23" s="46"/>
      <c r="J23" s="46"/>
      <c r="K23" s="46"/>
      <c r="L23" s="31"/>
    </row>
    <row r="24" spans="1:13" ht="21.6" customHeight="1" x14ac:dyDescent="0.25">
      <c r="A24" s="167"/>
      <c r="B24" s="253" t="s">
        <v>334</v>
      </c>
      <c r="C24" s="99"/>
      <c r="D24" s="99"/>
      <c r="E24" s="99"/>
      <c r="F24" s="99"/>
      <c r="G24" s="99"/>
      <c r="H24" s="99"/>
      <c r="I24" s="46"/>
      <c r="J24" s="46"/>
      <c r="K24" s="46"/>
      <c r="L24" s="31"/>
    </row>
    <row r="25" spans="1:13" x14ac:dyDescent="0.2">
      <c r="A25" s="167"/>
      <c r="B25" s="487" t="s">
        <v>333</v>
      </c>
      <c r="C25" s="461"/>
      <c r="D25" s="461"/>
      <c r="E25" s="461"/>
      <c r="F25" s="461"/>
      <c r="G25" s="461"/>
      <c r="H25" s="461"/>
      <c r="I25" s="463"/>
      <c r="J25" s="463"/>
      <c r="K25" s="463"/>
      <c r="L25" s="361"/>
    </row>
    <row r="26" spans="1:13" x14ac:dyDescent="0.2">
      <c r="A26" s="167"/>
      <c r="B26" s="487" t="s">
        <v>332</v>
      </c>
      <c r="C26" s="461"/>
      <c r="D26" s="461"/>
      <c r="E26" s="461"/>
      <c r="F26" s="461"/>
      <c r="G26" s="461"/>
      <c r="H26" s="461"/>
      <c r="I26" s="463"/>
      <c r="J26" s="463"/>
      <c r="K26" s="463"/>
      <c r="L26" s="361"/>
    </row>
    <row r="27" spans="1:13" x14ac:dyDescent="0.2">
      <c r="A27" s="167"/>
      <c r="B27" s="487" t="s">
        <v>331</v>
      </c>
      <c r="C27" s="461"/>
      <c r="D27" s="461"/>
      <c r="E27" s="461"/>
      <c r="F27" s="461"/>
      <c r="G27" s="461"/>
      <c r="H27" s="461"/>
      <c r="I27" s="463"/>
      <c r="J27" s="463"/>
      <c r="K27" s="463"/>
      <c r="L27" s="361"/>
    </row>
    <row r="28" spans="1:13" x14ac:dyDescent="0.2">
      <c r="A28" s="167"/>
      <c r="C28" s="99"/>
      <c r="D28" s="99"/>
      <c r="E28" s="99"/>
      <c r="F28" s="99"/>
      <c r="G28" s="99"/>
      <c r="H28" s="99"/>
      <c r="I28" s="46"/>
      <c r="J28" s="46"/>
      <c r="K28" s="46"/>
      <c r="L28" s="31"/>
    </row>
    <row r="29" spans="1:13" ht="32.1" customHeight="1" x14ac:dyDescent="0.2">
      <c r="A29" s="167"/>
      <c r="B29" s="244" t="s">
        <v>330</v>
      </c>
      <c r="C29" s="171"/>
      <c r="D29" s="171"/>
      <c r="E29" s="171"/>
      <c r="F29" s="171"/>
      <c r="G29" s="171"/>
      <c r="H29" s="99"/>
      <c r="I29" s="33">
        <v>756000</v>
      </c>
      <c r="J29" s="34"/>
      <c r="K29" s="34"/>
      <c r="L29" s="31">
        <v>6</v>
      </c>
    </row>
    <row r="30" spans="1:13" ht="37.5" customHeight="1" x14ac:dyDescent="0.2">
      <c r="A30" s="177"/>
      <c r="B30" s="1712" t="s">
        <v>329</v>
      </c>
      <c r="C30" s="1712"/>
      <c r="D30" s="1712"/>
      <c r="E30" s="1712"/>
      <c r="F30" s="1712"/>
      <c r="G30" s="1712"/>
      <c r="H30" s="99"/>
      <c r="I30" s="33">
        <v>817000</v>
      </c>
      <c r="J30" s="49"/>
      <c r="K30" s="34"/>
      <c r="L30" s="31">
        <v>7</v>
      </c>
    </row>
    <row r="31" spans="1:13" ht="20.85" customHeight="1" thickBot="1" x14ac:dyDescent="0.25">
      <c r="A31" s="168"/>
      <c r="B31" s="50" t="s">
        <v>328</v>
      </c>
      <c r="C31" s="166"/>
      <c r="D31" s="166"/>
      <c r="E31" s="166"/>
      <c r="F31" s="166"/>
      <c r="G31" s="166"/>
      <c r="H31" s="99"/>
      <c r="I31" s="32">
        <f>I29+I30</f>
        <v>1573000</v>
      </c>
      <c r="J31" s="49"/>
      <c r="K31" s="34"/>
      <c r="L31" s="31">
        <v>8</v>
      </c>
    </row>
    <row r="32" spans="1:13" ht="20.85" customHeight="1" thickTop="1" x14ac:dyDescent="0.2">
      <c r="A32" s="168"/>
      <c r="B32" s="50" t="s">
        <v>327</v>
      </c>
      <c r="C32" s="166"/>
      <c r="D32" s="166"/>
      <c r="E32" s="166"/>
      <c r="F32" s="166"/>
      <c r="G32" s="166"/>
      <c r="H32" s="99"/>
      <c r="I32" s="33">
        <v>330000</v>
      </c>
      <c r="J32" s="49"/>
      <c r="K32" s="34"/>
      <c r="L32" s="31">
        <v>9</v>
      </c>
    </row>
    <row r="33" spans="1:13" ht="20.85" customHeight="1" thickBot="1" x14ac:dyDescent="0.25">
      <c r="A33" s="167"/>
      <c r="B33" s="50" t="s">
        <v>326</v>
      </c>
      <c r="C33" s="166"/>
      <c r="D33" s="166"/>
      <c r="E33" s="166"/>
      <c r="F33" s="166"/>
      <c r="G33" s="166"/>
      <c r="H33" s="99"/>
      <c r="I33" s="270">
        <f>IF(OR(I31="",I31=0),"",1/I31*I32)</f>
        <v>0.20979020979020976</v>
      </c>
      <c r="J33" s="49"/>
      <c r="K33" s="34"/>
      <c r="L33" s="31">
        <v>10</v>
      </c>
    </row>
    <row r="34" spans="1:13" ht="21.6" customHeight="1" thickTop="1" x14ac:dyDescent="0.2">
      <c r="A34" s="168"/>
      <c r="B34" s="457"/>
      <c r="C34" s="99"/>
      <c r="D34" s="99"/>
      <c r="E34" s="99"/>
      <c r="F34" s="99"/>
      <c r="G34" s="99"/>
      <c r="H34" s="99"/>
      <c r="I34" s="46"/>
      <c r="J34" s="46"/>
      <c r="K34" s="46"/>
      <c r="L34" s="31"/>
      <c r="M34" s="170"/>
    </row>
    <row r="35" spans="1:13" ht="20.85" customHeight="1" x14ac:dyDescent="0.25">
      <c r="A35" s="167"/>
      <c r="B35" s="253" t="s">
        <v>302</v>
      </c>
      <c r="C35" s="99"/>
      <c r="D35" s="99"/>
      <c r="E35" s="99"/>
      <c r="F35" s="99"/>
      <c r="G35" s="99"/>
      <c r="H35" s="99"/>
      <c r="I35" s="46"/>
      <c r="J35" s="46"/>
      <c r="K35" s="46"/>
      <c r="L35" s="31"/>
    </row>
    <row r="36" spans="1:13" x14ac:dyDescent="0.2">
      <c r="A36" s="168"/>
      <c r="B36" s="9" t="s">
        <v>305</v>
      </c>
      <c r="C36" s="99"/>
      <c r="D36" s="99"/>
      <c r="E36" s="99"/>
      <c r="F36" s="99"/>
      <c r="G36" s="99"/>
      <c r="H36" s="99"/>
      <c r="I36" s="46"/>
      <c r="J36" s="46"/>
      <c r="K36" s="46"/>
      <c r="L36" s="31"/>
    </row>
    <row r="37" spans="1:13" ht="14.1" customHeight="1" x14ac:dyDescent="0.2">
      <c r="A37" s="167"/>
      <c r="B37" s="457"/>
      <c r="C37" s="99"/>
      <c r="D37" s="99"/>
      <c r="E37" s="99"/>
      <c r="F37" s="99"/>
      <c r="G37" s="99"/>
      <c r="H37" s="99"/>
      <c r="I37" s="46"/>
      <c r="J37" s="46"/>
      <c r="K37" s="46"/>
      <c r="L37" s="31"/>
    </row>
    <row r="38" spans="1:13" ht="22.5" customHeight="1" x14ac:dyDescent="0.25">
      <c r="A38" s="167"/>
      <c r="B38" s="269" t="s">
        <v>325</v>
      </c>
      <c r="C38" s="99"/>
      <c r="D38" s="99"/>
      <c r="E38" s="99"/>
      <c r="F38" s="99"/>
      <c r="G38" s="99"/>
      <c r="H38" s="99"/>
      <c r="I38" s="46"/>
      <c r="J38" s="46"/>
      <c r="K38" s="46"/>
      <c r="L38" s="31"/>
    </row>
    <row r="39" spans="1:13" ht="20.85" customHeight="1" x14ac:dyDescent="0.2">
      <c r="A39" s="167"/>
      <c r="B39" s="260" t="s">
        <v>324</v>
      </c>
      <c r="C39" s="99"/>
      <c r="D39" s="99"/>
      <c r="E39" s="99"/>
      <c r="F39" s="99"/>
      <c r="G39" s="99"/>
      <c r="H39" s="99"/>
      <c r="I39" s="46"/>
      <c r="J39" s="46"/>
      <c r="K39" s="46"/>
      <c r="L39" s="31"/>
    </row>
    <row r="40" spans="1:13" ht="20.85" customHeight="1" x14ac:dyDescent="0.2">
      <c r="A40" s="167"/>
      <c r="B40" s="244" t="s">
        <v>323</v>
      </c>
      <c r="C40" s="244"/>
      <c r="D40" s="244"/>
      <c r="E40" s="171"/>
      <c r="F40" s="171"/>
      <c r="G40" s="171"/>
      <c r="H40" s="99"/>
      <c r="I40" s="33">
        <v>126000</v>
      </c>
      <c r="J40" s="268" t="s">
        <v>322</v>
      </c>
      <c r="K40" s="34"/>
      <c r="L40" s="31">
        <v>11</v>
      </c>
    </row>
    <row r="41" spans="1:13" ht="20.85" customHeight="1" thickBot="1" x14ac:dyDescent="0.25">
      <c r="A41" s="168"/>
      <c r="B41" s="9" t="s">
        <v>321</v>
      </c>
      <c r="C41" s="50" t="s">
        <v>317</v>
      </c>
      <c r="D41" s="50"/>
      <c r="E41" s="166"/>
      <c r="F41" s="166"/>
      <c r="G41" s="166"/>
      <c r="H41" s="99"/>
      <c r="I41" s="33">
        <v>693000</v>
      </c>
      <c r="J41" s="265">
        <v>2.5000000000000001E-3</v>
      </c>
      <c r="K41" s="32">
        <f t="shared" ref="K41:K46" si="0">I41*J41</f>
        <v>1732.5</v>
      </c>
      <c r="L41" s="31">
        <v>12</v>
      </c>
      <c r="M41" s="170"/>
    </row>
    <row r="42" spans="1:13" ht="20.85" customHeight="1" thickTop="1" thickBot="1" x14ac:dyDescent="0.25">
      <c r="A42" s="167"/>
      <c r="B42" s="9"/>
      <c r="C42" s="50" t="s">
        <v>316</v>
      </c>
      <c r="D42" s="50"/>
      <c r="E42" s="166"/>
      <c r="F42" s="166"/>
      <c r="G42" s="166"/>
      <c r="H42" s="99"/>
      <c r="I42" s="33">
        <v>124000</v>
      </c>
      <c r="J42" s="256">
        <v>0.01</v>
      </c>
      <c r="K42" s="32">
        <f t="shared" si="0"/>
        <v>1240</v>
      </c>
      <c r="L42" s="31">
        <v>13</v>
      </c>
    </row>
    <row r="43" spans="1:13" ht="20.85" customHeight="1" thickTop="1" thickBot="1" x14ac:dyDescent="0.25">
      <c r="A43" s="168"/>
      <c r="B43" s="9"/>
      <c r="C43" s="50" t="s">
        <v>315</v>
      </c>
      <c r="D43" s="50"/>
      <c r="E43" s="166"/>
      <c r="F43" s="166"/>
      <c r="G43" s="166"/>
      <c r="H43" s="99"/>
      <c r="I43" s="33">
        <v>75000</v>
      </c>
      <c r="J43" s="256">
        <v>1.6E-2</v>
      </c>
      <c r="K43" s="32">
        <f t="shared" si="0"/>
        <v>1200</v>
      </c>
      <c r="L43" s="31">
        <v>14</v>
      </c>
    </row>
    <row r="44" spans="1:13" ht="20.85" customHeight="1" thickTop="1" thickBot="1" x14ac:dyDescent="0.25">
      <c r="A44" s="167"/>
      <c r="B44" s="50" t="s">
        <v>320</v>
      </c>
      <c r="C44" s="50"/>
      <c r="D44" s="50"/>
      <c r="E44" s="166"/>
      <c r="F44" s="166"/>
      <c r="G44" s="166"/>
      <c r="H44" s="99"/>
      <c r="I44" s="33">
        <v>94000</v>
      </c>
      <c r="J44" s="256">
        <v>0.08</v>
      </c>
      <c r="K44" s="32">
        <f t="shared" si="0"/>
        <v>7520</v>
      </c>
      <c r="L44" s="31">
        <v>15</v>
      </c>
    </row>
    <row r="45" spans="1:13" ht="20.85" customHeight="1" thickTop="1" thickBot="1" x14ac:dyDescent="0.25">
      <c r="A45" s="168"/>
      <c r="B45" s="50" t="s">
        <v>319</v>
      </c>
      <c r="C45" s="50"/>
      <c r="D45" s="50"/>
      <c r="E45" s="166"/>
      <c r="F45" s="166"/>
      <c r="G45" s="166"/>
      <c r="H45" s="99"/>
      <c r="I45" s="33">
        <v>993000</v>
      </c>
      <c r="J45" s="256">
        <v>0.12</v>
      </c>
      <c r="K45" s="32">
        <f t="shared" si="0"/>
        <v>119160</v>
      </c>
      <c r="L45" s="31">
        <v>16</v>
      </c>
    </row>
    <row r="46" spans="1:13" ht="20.85" customHeight="1" thickTop="1" thickBot="1" x14ac:dyDescent="0.25">
      <c r="A46" s="167"/>
      <c r="B46" s="50" t="s">
        <v>311</v>
      </c>
      <c r="C46" s="50"/>
      <c r="D46" s="50"/>
      <c r="E46" s="166"/>
      <c r="F46" s="166"/>
      <c r="G46" s="166"/>
      <c r="H46" s="99"/>
      <c r="I46" s="33">
        <v>346000</v>
      </c>
      <c r="J46" s="256">
        <v>0.08</v>
      </c>
      <c r="K46" s="32">
        <f t="shared" si="0"/>
        <v>27680</v>
      </c>
      <c r="L46" s="31">
        <v>17</v>
      </c>
      <c r="M46" s="267"/>
    </row>
    <row r="47" spans="1:13" ht="14.1" customHeight="1" thickTop="1" x14ac:dyDescent="0.2">
      <c r="A47" s="167"/>
      <c r="B47" s="457"/>
      <c r="C47" s="99"/>
      <c r="D47" s="99"/>
      <c r="E47" s="99"/>
      <c r="F47" s="99"/>
      <c r="G47" s="99"/>
      <c r="H47" s="99"/>
      <c r="I47" s="46"/>
      <c r="J47" s="46"/>
      <c r="K47" s="46"/>
      <c r="L47" s="31"/>
      <c r="M47" s="267"/>
    </row>
    <row r="48" spans="1:13" ht="21.6" customHeight="1" x14ac:dyDescent="0.2">
      <c r="A48" s="167"/>
      <c r="B48" s="9" t="s">
        <v>318</v>
      </c>
      <c r="C48" s="99"/>
      <c r="D48" s="99"/>
      <c r="E48" s="99"/>
      <c r="F48" s="99"/>
      <c r="G48" s="99"/>
      <c r="H48" s="99"/>
      <c r="I48" s="46"/>
      <c r="J48" s="46"/>
      <c r="K48" s="46"/>
      <c r="L48" s="31"/>
      <c r="M48" s="267"/>
    </row>
    <row r="49" spans="1:13" ht="14.1" customHeight="1" x14ac:dyDescent="0.2">
      <c r="A49" s="167"/>
      <c r="B49" s="457"/>
      <c r="C49" s="99"/>
      <c r="D49" s="99"/>
      <c r="E49" s="99"/>
      <c r="F49" s="99"/>
      <c r="G49" s="99"/>
      <c r="H49" s="99"/>
      <c r="I49" s="46"/>
      <c r="J49" s="46"/>
      <c r="K49" s="46"/>
      <c r="L49" s="31"/>
    </row>
    <row r="50" spans="1:13" ht="20.85" customHeight="1" thickBot="1" x14ac:dyDescent="0.25">
      <c r="A50" s="167"/>
      <c r="B50" s="244" t="s">
        <v>317</v>
      </c>
      <c r="C50" s="171"/>
      <c r="D50" s="171"/>
      <c r="E50" s="171"/>
      <c r="F50" s="171"/>
      <c r="G50" s="171"/>
      <c r="H50" s="99"/>
      <c r="I50" s="33">
        <v>939000</v>
      </c>
      <c r="J50" s="265">
        <v>2.5000000000000001E-3</v>
      </c>
      <c r="K50" s="32">
        <f>I50*J50</f>
        <v>2347.5</v>
      </c>
      <c r="L50" s="31">
        <v>18</v>
      </c>
    </row>
    <row r="51" spans="1:13" ht="20.85" customHeight="1" thickTop="1" thickBot="1" x14ac:dyDescent="0.25">
      <c r="A51" s="167"/>
      <c r="B51" s="244" t="s">
        <v>316</v>
      </c>
      <c r="C51" s="171"/>
      <c r="D51" s="171"/>
      <c r="E51" s="171"/>
      <c r="F51" s="171"/>
      <c r="G51" s="171"/>
      <c r="H51" s="99"/>
      <c r="I51" s="33">
        <v>46000</v>
      </c>
      <c r="J51" s="256">
        <v>0.01</v>
      </c>
      <c r="K51" s="32">
        <f>I51*J51</f>
        <v>460</v>
      </c>
      <c r="L51" s="31">
        <v>19</v>
      </c>
      <c r="M51" s="170"/>
    </row>
    <row r="52" spans="1:13" ht="20.85" customHeight="1" thickTop="1" thickBot="1" x14ac:dyDescent="0.25">
      <c r="A52" s="167"/>
      <c r="B52" s="244" t="s">
        <v>315</v>
      </c>
      <c r="C52" s="171"/>
      <c r="D52" s="171"/>
      <c r="E52" s="171"/>
      <c r="F52" s="171"/>
      <c r="G52" s="171"/>
      <c r="H52" s="99"/>
      <c r="I52" s="33">
        <v>63000</v>
      </c>
      <c r="J52" s="256">
        <v>1.6E-2</v>
      </c>
      <c r="K52" s="32">
        <f>I52*J52</f>
        <v>1008</v>
      </c>
      <c r="L52" s="31">
        <v>20</v>
      </c>
      <c r="M52" s="170"/>
    </row>
    <row r="53" spans="1:13" ht="21.6" customHeight="1" thickTop="1" x14ac:dyDescent="0.2">
      <c r="A53" s="167"/>
      <c r="H53" s="99"/>
      <c r="I53" s="46"/>
      <c r="J53" s="46"/>
      <c r="K53" s="46"/>
      <c r="L53" s="31"/>
      <c r="M53" s="170"/>
    </row>
    <row r="54" spans="1:13" ht="20.85" customHeight="1" x14ac:dyDescent="0.2">
      <c r="A54" s="167"/>
      <c r="B54" s="1" t="s">
        <v>314</v>
      </c>
      <c r="H54" s="99"/>
      <c r="I54" s="46"/>
      <c r="J54" s="46"/>
      <c r="K54" s="46"/>
      <c r="L54" s="31"/>
    </row>
    <row r="55" spans="1:13" ht="20.85" customHeight="1" thickBot="1" x14ac:dyDescent="0.25">
      <c r="A55" s="168"/>
      <c r="B55" s="244" t="s">
        <v>313</v>
      </c>
      <c r="C55" s="171"/>
      <c r="D55" s="171"/>
      <c r="E55" s="171"/>
      <c r="F55" s="171"/>
      <c r="G55" s="171"/>
      <c r="H55" s="99"/>
      <c r="I55" s="33">
        <v>649000</v>
      </c>
      <c r="J55" s="256">
        <v>0.08</v>
      </c>
      <c r="K55" s="32">
        <f>I55*J55</f>
        <v>51920</v>
      </c>
      <c r="L55" s="31">
        <v>21</v>
      </c>
    </row>
    <row r="56" spans="1:13" ht="20.85" customHeight="1" thickTop="1" thickBot="1" x14ac:dyDescent="0.25">
      <c r="A56" s="167"/>
      <c r="B56" s="244" t="s">
        <v>312</v>
      </c>
      <c r="C56" s="171"/>
      <c r="D56" s="171"/>
      <c r="E56" s="171"/>
      <c r="F56" s="171"/>
      <c r="G56" s="171"/>
      <c r="H56" s="99"/>
      <c r="I56" s="33">
        <v>416000</v>
      </c>
      <c r="J56" s="256">
        <v>0.12</v>
      </c>
      <c r="K56" s="32">
        <f>I56*J56</f>
        <v>49920</v>
      </c>
      <c r="L56" s="31">
        <v>22</v>
      </c>
    </row>
    <row r="57" spans="1:13" ht="20.85" customHeight="1" thickTop="1" thickBot="1" x14ac:dyDescent="0.25">
      <c r="A57" s="168"/>
      <c r="B57" s="244" t="s">
        <v>311</v>
      </c>
      <c r="C57" s="171"/>
      <c r="D57" s="171"/>
      <c r="E57" s="171"/>
      <c r="F57" s="171"/>
      <c r="G57" s="171"/>
      <c r="H57" s="99"/>
      <c r="I57" s="33">
        <v>252000</v>
      </c>
      <c r="J57" s="256">
        <v>0.08</v>
      </c>
      <c r="K57" s="32">
        <f>I57*J57</f>
        <v>20160</v>
      </c>
      <c r="L57" s="31">
        <v>23</v>
      </c>
    </row>
    <row r="58" spans="1:13" ht="20.85" customHeight="1" thickTop="1" thickBot="1" x14ac:dyDescent="0.25">
      <c r="A58" s="167"/>
      <c r="B58" s="244" t="s">
        <v>274</v>
      </c>
      <c r="C58" s="171"/>
      <c r="D58" s="171"/>
      <c r="E58" s="171"/>
      <c r="F58" s="171"/>
      <c r="G58" s="171"/>
      <c r="H58" s="99"/>
      <c r="I58" s="32">
        <f>I40+I41+I42+I43+I44+I45+I46+I50+I51+I52+I55+I56+I57</f>
        <v>4816000</v>
      </c>
      <c r="J58" s="265"/>
      <c r="K58" s="264">
        <f>K41+K42+K43+K44+K45+K46+K50+K51+K52+K55+K56+K57</f>
        <v>284348</v>
      </c>
      <c r="L58" s="31">
        <v>24</v>
      </c>
    </row>
    <row r="59" spans="1:13" ht="12.75" customHeight="1" thickTop="1" x14ac:dyDescent="0.2">
      <c r="A59" s="167"/>
      <c r="H59" s="99"/>
      <c r="I59" s="46"/>
      <c r="J59" s="46"/>
      <c r="K59" s="46"/>
      <c r="L59" s="31"/>
    </row>
    <row r="60" spans="1:13" ht="21.6" customHeight="1" x14ac:dyDescent="0.25">
      <c r="A60" s="163"/>
      <c r="B60" s="252" t="s">
        <v>310</v>
      </c>
      <c r="C60" s="251"/>
      <c r="D60" s="246"/>
      <c r="E60" s="246"/>
      <c r="F60" s="246"/>
      <c r="G60" s="246"/>
      <c r="H60" s="246"/>
      <c r="I60" s="250"/>
      <c r="J60" s="263"/>
      <c r="K60" s="250"/>
      <c r="L60" s="31"/>
    </row>
    <row r="61" spans="1:13" ht="21.6" customHeight="1" thickBot="1" x14ac:dyDescent="0.25">
      <c r="A61" s="482"/>
      <c r="B61" s="465" t="s">
        <v>309</v>
      </c>
      <c r="C61" s="476"/>
      <c r="D61" s="466"/>
      <c r="E61" s="466"/>
      <c r="F61" s="466"/>
      <c r="G61" s="466"/>
      <c r="H61" s="461"/>
      <c r="I61" s="467"/>
      <c r="J61" s="483"/>
      <c r="K61" s="365">
        <f>SUM(K62:K63)</f>
        <v>249000</v>
      </c>
      <c r="L61" s="361">
        <v>80</v>
      </c>
    </row>
    <row r="62" spans="1:13" ht="21.6" customHeight="1" thickTop="1" x14ac:dyDescent="0.2">
      <c r="A62" s="482"/>
      <c r="B62" s="465" t="s">
        <v>307</v>
      </c>
      <c r="C62" s="476"/>
      <c r="D62" s="466"/>
      <c r="E62" s="466"/>
      <c r="F62" s="466"/>
      <c r="G62" s="466"/>
      <c r="H62" s="461"/>
      <c r="I62" s="467"/>
      <c r="J62" s="483"/>
      <c r="K62" s="164">
        <v>144000</v>
      </c>
      <c r="L62" s="361">
        <v>91</v>
      </c>
    </row>
    <row r="63" spans="1:13" ht="21.6" customHeight="1" x14ac:dyDescent="0.2">
      <c r="A63" s="482"/>
      <c r="B63" s="465" t="s">
        <v>306</v>
      </c>
      <c r="C63" s="476"/>
      <c r="D63" s="466"/>
      <c r="E63" s="466"/>
      <c r="F63" s="466"/>
      <c r="G63" s="466"/>
      <c r="H63" s="461"/>
      <c r="I63" s="467"/>
      <c r="J63" s="483"/>
      <c r="K63" s="164">
        <v>105000</v>
      </c>
      <c r="L63" s="361">
        <v>92</v>
      </c>
    </row>
    <row r="64" spans="1:13" ht="21.6" customHeight="1" thickBot="1" x14ac:dyDescent="0.25">
      <c r="A64" s="482"/>
      <c r="B64" s="465" t="s">
        <v>308</v>
      </c>
      <c r="C64" s="476"/>
      <c r="D64" s="466"/>
      <c r="E64" s="466"/>
      <c r="F64" s="466"/>
      <c r="G64" s="466"/>
      <c r="H64" s="461"/>
      <c r="I64" s="467"/>
      <c r="J64" s="483"/>
      <c r="K64" s="365">
        <f>MAX(K65:K66)</f>
        <v>937000</v>
      </c>
      <c r="L64" s="361">
        <v>81</v>
      </c>
    </row>
    <row r="65" spans="1:13" ht="21.6" customHeight="1" thickTop="1" x14ac:dyDescent="0.2">
      <c r="A65" s="482"/>
      <c r="B65" s="465" t="s">
        <v>307</v>
      </c>
      <c r="C65" s="476"/>
      <c r="D65" s="466"/>
      <c r="E65" s="466"/>
      <c r="F65" s="466"/>
      <c r="G65" s="466"/>
      <c r="H65" s="461"/>
      <c r="I65" s="467"/>
      <c r="J65" s="483"/>
      <c r="K65" s="164">
        <v>937000</v>
      </c>
      <c r="L65" s="361">
        <v>93</v>
      </c>
    </row>
    <row r="66" spans="1:13" ht="21.6" customHeight="1" x14ac:dyDescent="0.2">
      <c r="A66" s="482"/>
      <c r="B66" s="465" t="s">
        <v>306</v>
      </c>
      <c r="C66" s="476"/>
      <c r="D66" s="466"/>
      <c r="E66" s="466"/>
      <c r="F66" s="466"/>
      <c r="G66" s="466"/>
      <c r="H66" s="461"/>
      <c r="I66" s="467"/>
      <c r="J66" s="483"/>
      <c r="K66" s="164">
        <v>774000</v>
      </c>
      <c r="L66" s="361">
        <v>94</v>
      </c>
    </row>
    <row r="67" spans="1:13" ht="21.6" customHeight="1" thickBot="1" x14ac:dyDescent="0.25">
      <c r="A67" s="163"/>
      <c r="B67" s="249" t="s">
        <v>274</v>
      </c>
      <c r="C67" s="248"/>
      <c r="D67" s="247"/>
      <c r="E67" s="247"/>
      <c r="F67" s="247"/>
      <c r="G67" s="247"/>
      <c r="H67" s="246"/>
      <c r="I67" s="34"/>
      <c r="J67" s="262"/>
      <c r="K67" s="261">
        <f>K61+K64</f>
        <v>1186000</v>
      </c>
      <c r="L67" s="31">
        <v>82</v>
      </c>
    </row>
    <row r="68" spans="1:13" ht="14.1" customHeight="1" thickTop="1" x14ac:dyDescent="0.2">
      <c r="A68" s="163"/>
      <c r="B68" s="260"/>
      <c r="C68" s="251"/>
      <c r="D68" s="246"/>
      <c r="E68" s="246"/>
      <c r="F68" s="246"/>
      <c r="G68" s="246"/>
      <c r="H68" s="246"/>
      <c r="I68" s="46"/>
      <c r="J68" s="259"/>
      <c r="K68" s="258"/>
      <c r="L68" s="31"/>
    </row>
    <row r="69" spans="1:13" ht="30" customHeight="1" x14ac:dyDescent="0.25">
      <c r="A69" s="182"/>
      <c r="B69" s="253" t="s">
        <v>300</v>
      </c>
      <c r="H69" s="99"/>
      <c r="I69" s="46"/>
      <c r="J69" s="46"/>
      <c r="K69" s="46"/>
      <c r="L69" s="31"/>
    </row>
    <row r="70" spans="1:13" ht="17.850000000000001" customHeight="1" x14ac:dyDescent="0.2">
      <c r="A70" s="167"/>
      <c r="B70" s="9" t="s">
        <v>305</v>
      </c>
      <c r="H70" s="99"/>
      <c r="I70" s="46"/>
      <c r="J70" s="46"/>
      <c r="K70" s="46"/>
      <c r="L70" s="31"/>
    </row>
    <row r="71" spans="1:13" ht="21.6" customHeight="1" x14ac:dyDescent="0.2">
      <c r="A71" s="168"/>
      <c r="H71" s="99"/>
      <c r="I71" s="46"/>
      <c r="J71" s="46"/>
      <c r="K71" s="46"/>
      <c r="L71" s="31"/>
    </row>
    <row r="72" spans="1:13" ht="20.85" customHeight="1" x14ac:dyDescent="0.2">
      <c r="A72" s="167"/>
      <c r="B72" s="244" t="s">
        <v>304</v>
      </c>
      <c r="C72" s="171"/>
      <c r="D72" s="171"/>
      <c r="E72" s="171"/>
      <c r="F72" s="171"/>
      <c r="G72" s="171"/>
      <c r="H72" s="99"/>
      <c r="I72" s="34"/>
      <c r="J72" s="256"/>
      <c r="K72" s="33">
        <v>284000</v>
      </c>
      <c r="L72" s="31">
        <v>25</v>
      </c>
    </row>
    <row r="73" spans="1:13" ht="20.85" customHeight="1" x14ac:dyDescent="0.2">
      <c r="A73" s="167"/>
      <c r="B73" s="244" t="s">
        <v>303</v>
      </c>
      <c r="C73" s="171"/>
      <c r="D73" s="171"/>
      <c r="E73" s="171"/>
      <c r="F73" s="171"/>
      <c r="G73" s="171"/>
      <c r="H73" s="99"/>
      <c r="I73" s="34"/>
      <c r="J73" s="256"/>
      <c r="K73" s="33">
        <v>327000</v>
      </c>
      <c r="L73" s="31">
        <v>26</v>
      </c>
    </row>
    <row r="74" spans="1:13" ht="20.85" customHeight="1" thickBot="1" x14ac:dyDescent="0.25">
      <c r="A74" s="167"/>
      <c r="B74" s="244" t="s">
        <v>274</v>
      </c>
      <c r="C74" s="171"/>
      <c r="D74" s="171"/>
      <c r="E74" s="171"/>
      <c r="F74" s="171"/>
      <c r="G74" s="171"/>
      <c r="H74" s="99"/>
      <c r="I74" s="34"/>
      <c r="J74" s="256"/>
      <c r="K74" s="32">
        <f>K72+K73</f>
        <v>611000</v>
      </c>
      <c r="L74" s="31">
        <v>27</v>
      </c>
    </row>
    <row r="75" spans="1:13" ht="7.5" customHeight="1" thickTop="1" x14ac:dyDescent="0.2">
      <c r="A75" s="257"/>
      <c r="B75" s="28"/>
      <c r="C75" s="28"/>
      <c r="D75" s="28"/>
      <c r="E75" s="28"/>
      <c r="F75" s="28"/>
      <c r="G75" s="28"/>
      <c r="H75" s="28"/>
      <c r="I75" s="28"/>
      <c r="J75" s="28"/>
      <c r="K75" s="28"/>
      <c r="L75" s="28"/>
    </row>
    <row r="76" spans="1:13" ht="14.1" customHeight="1" x14ac:dyDescent="0.2">
      <c r="A76" s="99"/>
      <c r="I76" s="46"/>
      <c r="J76" s="46"/>
      <c r="K76" s="46"/>
      <c r="L76" s="31"/>
    </row>
    <row r="77" spans="1:13" ht="20.85" customHeight="1" x14ac:dyDescent="0.25">
      <c r="A77" s="99"/>
      <c r="B77" s="253" t="s">
        <v>302</v>
      </c>
      <c r="I77" s="46"/>
      <c r="J77" s="46"/>
      <c r="K77" s="46"/>
      <c r="L77" s="31"/>
    </row>
    <row r="78" spans="1:13" x14ac:dyDescent="0.2">
      <c r="A78" s="99"/>
      <c r="B78" s="1" t="s">
        <v>299</v>
      </c>
      <c r="I78" s="46"/>
      <c r="J78" s="46"/>
      <c r="K78" s="46"/>
      <c r="L78" s="31"/>
    </row>
    <row r="79" spans="1:13" ht="20.85" customHeight="1" x14ac:dyDescent="0.2">
      <c r="A79" s="99"/>
      <c r="I79" s="46"/>
      <c r="J79" s="46"/>
      <c r="K79" s="46"/>
      <c r="L79" s="31"/>
    </row>
    <row r="80" spans="1:13" ht="20.85" customHeight="1" thickBot="1" x14ac:dyDescent="0.25">
      <c r="A80" s="99"/>
      <c r="B80" s="244" t="s">
        <v>301</v>
      </c>
      <c r="C80" s="171"/>
      <c r="D80" s="171"/>
      <c r="E80" s="171"/>
      <c r="F80" s="171"/>
      <c r="G80" s="171"/>
      <c r="I80" s="33">
        <v>928000</v>
      </c>
      <c r="J80" s="256">
        <v>0.08</v>
      </c>
      <c r="K80" s="32">
        <f>I80*J80</f>
        <v>74240</v>
      </c>
      <c r="L80" s="31">
        <v>30</v>
      </c>
      <c r="M80" s="255"/>
    </row>
    <row r="81" spans="1:13" ht="20.85" customHeight="1" thickTop="1" thickBot="1" x14ac:dyDescent="0.25">
      <c r="A81" s="99"/>
      <c r="B81" s="244" t="s">
        <v>274</v>
      </c>
      <c r="C81" s="171"/>
      <c r="D81" s="171"/>
      <c r="E81" s="171"/>
      <c r="F81" s="171"/>
      <c r="G81" s="171"/>
      <c r="I81" s="32">
        <f>I80</f>
        <v>928000</v>
      </c>
      <c r="J81" s="34"/>
      <c r="K81" s="32">
        <f>K80</f>
        <v>74240</v>
      </c>
      <c r="L81" s="31">
        <v>31</v>
      </c>
      <c r="M81" s="170"/>
    </row>
    <row r="82" spans="1:13" ht="20.85" customHeight="1" thickTop="1" x14ac:dyDescent="0.2">
      <c r="A82" s="99"/>
      <c r="I82" s="46"/>
      <c r="J82" s="46"/>
      <c r="K82" s="46"/>
      <c r="L82" s="31"/>
    </row>
    <row r="83" spans="1:13" ht="20.85" customHeight="1" x14ac:dyDescent="0.25">
      <c r="A83" s="99"/>
      <c r="B83" s="253" t="s">
        <v>300</v>
      </c>
      <c r="I83" s="46"/>
      <c r="J83" s="46"/>
      <c r="K83" s="46"/>
      <c r="L83" s="31"/>
    </row>
    <row r="84" spans="1:13" x14ac:dyDescent="0.2">
      <c r="A84" s="99"/>
      <c r="B84" s="1" t="s">
        <v>299</v>
      </c>
      <c r="I84" s="46"/>
      <c r="J84" s="46"/>
      <c r="K84" s="46"/>
      <c r="L84" s="31"/>
    </row>
    <row r="85" spans="1:13" ht="20.85" customHeight="1" x14ac:dyDescent="0.2">
      <c r="A85" s="99"/>
      <c r="B85" s="99"/>
      <c r="C85" s="99"/>
      <c r="D85" s="99"/>
      <c r="E85" s="99"/>
      <c r="F85" s="99"/>
      <c r="G85" s="99"/>
      <c r="I85" s="46"/>
      <c r="J85" s="46"/>
      <c r="K85" s="46"/>
      <c r="L85" s="31"/>
    </row>
    <row r="86" spans="1:13" ht="20.85" customHeight="1" thickBot="1" x14ac:dyDescent="0.25">
      <c r="A86" s="99"/>
      <c r="B86" s="244" t="s">
        <v>298</v>
      </c>
      <c r="C86" s="171"/>
      <c r="D86" s="171"/>
      <c r="E86" s="171"/>
      <c r="F86" s="171"/>
      <c r="G86" s="171"/>
      <c r="I86" s="33">
        <v>361000</v>
      </c>
      <c r="J86" s="254">
        <v>0.08</v>
      </c>
      <c r="K86" s="32">
        <f>I86*J86</f>
        <v>28880</v>
      </c>
      <c r="L86" s="31">
        <v>32</v>
      </c>
    </row>
    <row r="87" spans="1:13" ht="20.85" customHeight="1" thickTop="1" thickBot="1" x14ac:dyDescent="0.25">
      <c r="A87" s="99"/>
      <c r="B87" s="244" t="s">
        <v>274</v>
      </c>
      <c r="C87" s="171"/>
      <c r="D87" s="171"/>
      <c r="E87" s="171"/>
      <c r="F87" s="171"/>
      <c r="G87" s="171"/>
      <c r="I87" s="32">
        <f>I86</f>
        <v>361000</v>
      </c>
      <c r="J87" s="34"/>
      <c r="K87" s="32">
        <f>K86</f>
        <v>28880</v>
      </c>
      <c r="L87" s="31">
        <v>33</v>
      </c>
    </row>
    <row r="88" spans="1:13" ht="20.85" customHeight="1" thickTop="1" x14ac:dyDescent="0.2">
      <c r="A88" s="99"/>
      <c r="I88" s="46"/>
      <c r="J88" s="46"/>
      <c r="K88" s="46"/>
      <c r="L88" s="31"/>
    </row>
    <row r="89" spans="1:13" ht="20.85" customHeight="1" x14ac:dyDescent="0.25">
      <c r="A89" s="99"/>
      <c r="B89" s="253" t="s">
        <v>292</v>
      </c>
      <c r="I89" s="46"/>
      <c r="J89" s="46"/>
      <c r="K89" s="46"/>
      <c r="L89" s="31"/>
    </row>
    <row r="90" spans="1:13" s="493" customFormat="1" x14ac:dyDescent="0.2">
      <c r="A90" s="491"/>
      <c r="B90" s="492" t="s">
        <v>297</v>
      </c>
      <c r="I90" s="494"/>
      <c r="J90" s="494"/>
      <c r="K90" s="494"/>
      <c r="L90" s="495"/>
    </row>
    <row r="91" spans="1:13" ht="20.85" customHeight="1" x14ac:dyDescent="0.2">
      <c r="A91" s="99"/>
      <c r="I91" s="46"/>
      <c r="J91" s="46"/>
      <c r="K91" s="46"/>
      <c r="L91" s="31"/>
    </row>
    <row r="92" spans="1:13" ht="20.85" customHeight="1" x14ac:dyDescent="0.2">
      <c r="A92" s="99"/>
      <c r="B92" s="244" t="s">
        <v>290</v>
      </c>
      <c r="C92" s="171"/>
      <c r="D92" s="171"/>
      <c r="E92" s="171"/>
      <c r="F92" s="171"/>
      <c r="G92" s="171"/>
      <c r="I92" s="34"/>
      <c r="J92" s="34"/>
      <c r="K92" s="33">
        <v>355000</v>
      </c>
      <c r="L92" s="31">
        <v>34</v>
      </c>
    </row>
    <row r="93" spans="1:13" ht="20.85" customHeight="1" x14ac:dyDescent="0.2">
      <c r="A93" s="99"/>
      <c r="B93" s="244" t="s">
        <v>289</v>
      </c>
      <c r="C93" s="166"/>
      <c r="D93" s="166"/>
      <c r="E93" s="166"/>
      <c r="F93" s="166"/>
      <c r="G93" s="166"/>
      <c r="I93" s="34"/>
      <c r="J93" s="34"/>
      <c r="K93" s="33">
        <v>211000</v>
      </c>
      <c r="L93" s="31">
        <v>35</v>
      </c>
    </row>
    <row r="94" spans="1:13" ht="20.85" customHeight="1" x14ac:dyDescent="0.2">
      <c r="A94" s="99"/>
      <c r="B94" s="244" t="s">
        <v>288</v>
      </c>
      <c r="C94" s="166"/>
      <c r="D94" s="166"/>
      <c r="E94" s="166"/>
      <c r="F94" s="166"/>
      <c r="G94" s="166"/>
      <c r="I94" s="34"/>
      <c r="J94" s="34"/>
      <c r="K94" s="33">
        <v>440000</v>
      </c>
      <c r="L94" s="31">
        <v>36</v>
      </c>
    </row>
    <row r="95" spans="1:13" ht="20.85" customHeight="1" x14ac:dyDescent="0.2">
      <c r="A95" s="99"/>
      <c r="B95" s="244" t="s">
        <v>287</v>
      </c>
      <c r="C95" s="166"/>
      <c r="D95" s="166"/>
      <c r="E95" s="166"/>
      <c r="F95" s="166"/>
      <c r="G95" s="166"/>
      <c r="I95" s="34"/>
      <c r="J95" s="34"/>
      <c r="K95" s="33">
        <v>165000</v>
      </c>
      <c r="L95" s="31">
        <v>37</v>
      </c>
    </row>
    <row r="96" spans="1:13" ht="20.85" customHeight="1" x14ac:dyDescent="0.2">
      <c r="A96" s="99"/>
      <c r="B96" s="244" t="s">
        <v>286</v>
      </c>
      <c r="C96" s="166"/>
      <c r="D96" s="166"/>
      <c r="E96" s="166"/>
      <c r="F96" s="166"/>
      <c r="G96" s="166"/>
      <c r="I96" s="34"/>
      <c r="J96" s="34"/>
      <c r="K96" s="33">
        <v>702000</v>
      </c>
      <c r="L96" s="31">
        <v>38</v>
      </c>
    </row>
    <row r="97" spans="1:14" ht="20.85" customHeight="1" thickBot="1" x14ac:dyDescent="0.25">
      <c r="A97" s="461"/>
      <c r="B97" s="465" t="s">
        <v>274</v>
      </c>
      <c r="C97" s="468"/>
      <c r="D97" s="468"/>
      <c r="E97" s="468"/>
      <c r="F97" s="468"/>
      <c r="G97" s="468"/>
      <c r="H97" s="462"/>
      <c r="I97" s="467"/>
      <c r="J97" s="467"/>
      <c r="K97" s="365">
        <f>K92+K93+K94+K95+K96</f>
        <v>1873000</v>
      </c>
      <c r="L97" s="361">
        <v>39</v>
      </c>
      <c r="M97" s="462"/>
      <c r="N97" s="462"/>
    </row>
    <row r="98" spans="1:14" ht="20.85" customHeight="1" thickTop="1" x14ac:dyDescent="0.2">
      <c r="A98" s="99"/>
      <c r="I98" s="46"/>
      <c r="J98" s="46"/>
      <c r="K98" s="46"/>
      <c r="L98" s="31"/>
    </row>
    <row r="99" spans="1:14" ht="20.85" customHeight="1" x14ac:dyDescent="0.25">
      <c r="A99" s="99"/>
      <c r="B99" s="253" t="s">
        <v>296</v>
      </c>
      <c r="I99" s="46"/>
      <c r="J99" s="46"/>
      <c r="K99" s="46"/>
      <c r="L99" s="31"/>
    </row>
    <row r="100" spans="1:14" s="493" customFormat="1" x14ac:dyDescent="0.2">
      <c r="A100" s="491"/>
      <c r="B100" s="492" t="s">
        <v>295</v>
      </c>
      <c r="I100" s="494"/>
      <c r="J100" s="494"/>
      <c r="K100" s="494"/>
      <c r="L100" s="495"/>
    </row>
    <row r="101" spans="1:14" ht="20.85" customHeight="1" x14ac:dyDescent="0.2">
      <c r="A101" s="99"/>
      <c r="I101" s="46"/>
      <c r="J101" s="46"/>
      <c r="K101" s="46"/>
      <c r="L101" s="31"/>
    </row>
    <row r="102" spans="1:14" ht="20.85" customHeight="1" x14ac:dyDescent="0.2">
      <c r="A102" s="99"/>
      <c r="B102" s="1" t="s">
        <v>294</v>
      </c>
      <c r="C102" s="99"/>
      <c r="D102" s="99"/>
      <c r="E102" s="99"/>
      <c r="F102" s="99"/>
      <c r="G102" s="99"/>
      <c r="I102" s="46"/>
      <c r="J102" s="46"/>
      <c r="K102" s="46"/>
      <c r="L102" s="31"/>
    </row>
    <row r="103" spans="1:14" ht="20.85" customHeight="1" x14ac:dyDescent="0.2">
      <c r="A103" s="99"/>
      <c r="B103" s="244" t="s">
        <v>290</v>
      </c>
      <c r="C103" s="171"/>
      <c r="D103" s="171"/>
      <c r="E103" s="171"/>
      <c r="F103" s="171"/>
      <c r="G103" s="171"/>
      <c r="I103" s="34"/>
      <c r="J103" s="34"/>
      <c r="K103" s="33">
        <v>61000</v>
      </c>
      <c r="L103" s="31">
        <v>40</v>
      </c>
    </row>
    <row r="104" spans="1:14" ht="20.85" customHeight="1" x14ac:dyDescent="0.2">
      <c r="A104" s="99"/>
      <c r="B104" s="244" t="s">
        <v>289</v>
      </c>
      <c r="C104" s="166"/>
      <c r="D104" s="166"/>
      <c r="E104" s="166"/>
      <c r="F104" s="166"/>
      <c r="G104" s="166"/>
      <c r="I104" s="34"/>
      <c r="J104" s="34"/>
      <c r="K104" s="33">
        <v>733000</v>
      </c>
      <c r="L104" s="31">
        <v>41</v>
      </c>
    </row>
    <row r="105" spans="1:14" ht="20.85" customHeight="1" x14ac:dyDescent="0.2">
      <c r="A105" s="99"/>
      <c r="B105" s="244" t="s">
        <v>288</v>
      </c>
      <c r="C105" s="166"/>
      <c r="D105" s="166"/>
      <c r="E105" s="166"/>
      <c r="F105" s="166"/>
      <c r="G105" s="166"/>
      <c r="I105" s="34"/>
      <c r="J105" s="34"/>
      <c r="K105" s="33">
        <v>595000</v>
      </c>
      <c r="L105" s="31">
        <v>42</v>
      </c>
    </row>
    <row r="106" spans="1:14" ht="20.85" customHeight="1" x14ac:dyDescent="0.2">
      <c r="A106" s="99"/>
      <c r="B106" s="244" t="s">
        <v>287</v>
      </c>
      <c r="C106" s="166"/>
      <c r="D106" s="166"/>
      <c r="E106" s="166"/>
      <c r="F106" s="166"/>
      <c r="G106" s="166"/>
      <c r="I106" s="34"/>
      <c r="J106" s="34"/>
      <c r="K106" s="33">
        <v>861000</v>
      </c>
      <c r="L106" s="31">
        <v>43</v>
      </c>
    </row>
    <row r="107" spans="1:14" ht="20.85" customHeight="1" x14ac:dyDescent="0.2">
      <c r="A107" s="99"/>
      <c r="B107" s="244" t="s">
        <v>286</v>
      </c>
      <c r="C107" s="166"/>
      <c r="D107" s="166"/>
      <c r="E107" s="166"/>
      <c r="F107" s="166"/>
      <c r="G107" s="166"/>
      <c r="I107" s="34"/>
      <c r="J107" s="34"/>
      <c r="K107" s="33">
        <v>936000</v>
      </c>
      <c r="L107" s="31">
        <v>44</v>
      </c>
    </row>
    <row r="108" spans="1:14" ht="20.85" customHeight="1" thickBot="1" x14ac:dyDescent="0.25">
      <c r="A108" s="461"/>
      <c r="B108" s="465" t="s">
        <v>274</v>
      </c>
      <c r="C108" s="468"/>
      <c r="D108" s="468"/>
      <c r="E108" s="468"/>
      <c r="F108" s="468"/>
      <c r="G108" s="468"/>
      <c r="H108" s="462"/>
      <c r="I108" s="467"/>
      <c r="J108" s="467"/>
      <c r="K108" s="365">
        <f>K103+K104+K105+K106+K107</f>
        <v>3186000</v>
      </c>
      <c r="L108" s="361">
        <v>45</v>
      </c>
      <c r="M108" s="462"/>
      <c r="N108" s="462"/>
    </row>
    <row r="109" spans="1:14" ht="20.85" customHeight="1" thickTop="1" x14ac:dyDescent="0.2">
      <c r="A109" s="99"/>
      <c r="I109" s="46"/>
      <c r="J109" s="46"/>
      <c r="K109" s="46"/>
      <c r="L109" s="31"/>
    </row>
    <row r="110" spans="1:14" ht="20.85" customHeight="1" x14ac:dyDescent="0.2">
      <c r="A110" s="99"/>
      <c r="B110" s="1" t="s">
        <v>293</v>
      </c>
      <c r="I110" s="46"/>
      <c r="J110" s="46"/>
      <c r="K110" s="46"/>
      <c r="L110" s="31"/>
    </row>
    <row r="111" spans="1:14" ht="20.85" customHeight="1" x14ac:dyDescent="0.2">
      <c r="A111" s="99"/>
      <c r="B111" s="244" t="s">
        <v>290</v>
      </c>
      <c r="C111" s="171"/>
      <c r="D111" s="171"/>
      <c r="E111" s="171"/>
      <c r="F111" s="171"/>
      <c r="G111" s="171"/>
      <c r="I111" s="34"/>
      <c r="J111" s="34"/>
      <c r="K111" s="33">
        <v>789000</v>
      </c>
      <c r="L111" s="31">
        <v>46</v>
      </c>
    </row>
    <row r="112" spans="1:14" ht="20.85" customHeight="1" x14ac:dyDescent="0.2">
      <c r="A112" s="99"/>
      <c r="B112" s="244" t="s">
        <v>289</v>
      </c>
      <c r="C112" s="166"/>
      <c r="D112" s="166"/>
      <c r="E112" s="166"/>
      <c r="F112" s="166"/>
      <c r="G112" s="166"/>
      <c r="I112" s="34"/>
      <c r="J112" s="34"/>
      <c r="K112" s="33">
        <v>524000</v>
      </c>
      <c r="L112" s="31">
        <v>47</v>
      </c>
    </row>
    <row r="113" spans="1:14" ht="20.85" customHeight="1" x14ac:dyDescent="0.2">
      <c r="A113" s="99"/>
      <c r="B113" s="244" t="s">
        <v>288</v>
      </c>
      <c r="C113" s="166"/>
      <c r="D113" s="166"/>
      <c r="E113" s="166"/>
      <c r="F113" s="166"/>
      <c r="G113" s="166"/>
      <c r="I113" s="34"/>
      <c r="J113" s="34"/>
      <c r="K113" s="33">
        <v>661000</v>
      </c>
      <c r="L113" s="31">
        <v>48</v>
      </c>
    </row>
    <row r="114" spans="1:14" ht="20.85" customHeight="1" x14ac:dyDescent="0.2">
      <c r="A114" s="99"/>
      <c r="B114" s="244" t="s">
        <v>287</v>
      </c>
      <c r="C114" s="166"/>
      <c r="D114" s="166"/>
      <c r="E114" s="166"/>
      <c r="F114" s="166"/>
      <c r="G114" s="166"/>
      <c r="I114" s="34"/>
      <c r="J114" s="34"/>
      <c r="K114" s="33">
        <v>368000</v>
      </c>
      <c r="L114" s="31">
        <v>49</v>
      </c>
    </row>
    <row r="115" spans="1:14" ht="20.85" customHeight="1" x14ac:dyDescent="0.2">
      <c r="A115" s="99"/>
      <c r="B115" s="244" t="s">
        <v>286</v>
      </c>
      <c r="C115" s="166"/>
      <c r="D115" s="166"/>
      <c r="E115" s="166"/>
      <c r="F115" s="166"/>
      <c r="G115" s="166"/>
      <c r="I115" s="34"/>
      <c r="J115" s="34"/>
      <c r="K115" s="33">
        <v>828000</v>
      </c>
      <c r="L115" s="31">
        <v>50</v>
      </c>
    </row>
    <row r="116" spans="1:14" ht="20.85" customHeight="1" thickBot="1" x14ac:dyDescent="0.25">
      <c r="A116" s="461"/>
      <c r="B116" s="465" t="s">
        <v>274</v>
      </c>
      <c r="C116" s="468"/>
      <c r="D116" s="468"/>
      <c r="E116" s="468"/>
      <c r="F116" s="468"/>
      <c r="G116" s="468"/>
      <c r="H116" s="462"/>
      <c r="I116" s="467"/>
      <c r="J116" s="467"/>
      <c r="K116" s="365">
        <f>K111+K112+K113+K114+K115</f>
        <v>3170000</v>
      </c>
      <c r="L116" s="361">
        <v>51</v>
      </c>
      <c r="M116" s="462"/>
      <c r="N116" s="462"/>
    </row>
    <row r="117" spans="1:14" ht="20.85" customHeight="1" thickTop="1" x14ac:dyDescent="0.2">
      <c r="A117" s="99"/>
      <c r="I117" s="46"/>
      <c r="J117" s="46"/>
      <c r="K117" s="46"/>
      <c r="L117" s="31"/>
    </row>
    <row r="118" spans="1:14" ht="20.85" customHeight="1" x14ac:dyDescent="0.25">
      <c r="A118" s="99"/>
      <c r="B118" s="253" t="s">
        <v>292</v>
      </c>
      <c r="I118" s="46"/>
      <c r="J118" s="46"/>
      <c r="K118" s="46"/>
      <c r="L118" s="31"/>
    </row>
    <row r="119" spans="1:14" s="493" customFormat="1" x14ac:dyDescent="0.2">
      <c r="A119" s="491"/>
      <c r="B119" s="492" t="s">
        <v>291</v>
      </c>
      <c r="I119" s="494"/>
      <c r="J119" s="494"/>
      <c r="K119" s="494"/>
      <c r="L119" s="495"/>
    </row>
    <row r="120" spans="1:14" ht="20.85" customHeight="1" x14ac:dyDescent="0.2">
      <c r="A120" s="99"/>
      <c r="I120" s="46"/>
      <c r="J120" s="46"/>
      <c r="K120" s="46"/>
      <c r="L120" s="31"/>
    </row>
    <row r="121" spans="1:14" ht="20.85" customHeight="1" x14ac:dyDescent="0.2">
      <c r="A121" s="99"/>
      <c r="B121" s="244" t="s">
        <v>290</v>
      </c>
      <c r="C121" s="171"/>
      <c r="D121" s="171"/>
      <c r="E121" s="171"/>
      <c r="F121" s="171"/>
      <c r="G121" s="171"/>
      <c r="I121" s="34"/>
      <c r="J121" s="34"/>
      <c r="K121" s="33">
        <v>650000</v>
      </c>
      <c r="L121" s="31">
        <v>52</v>
      </c>
    </row>
    <row r="122" spans="1:14" ht="20.85" customHeight="1" x14ac:dyDescent="0.2">
      <c r="A122" s="99"/>
      <c r="B122" s="244" t="s">
        <v>289</v>
      </c>
      <c r="C122" s="166"/>
      <c r="D122" s="166"/>
      <c r="E122" s="166"/>
      <c r="F122" s="166"/>
      <c r="G122" s="166"/>
      <c r="I122" s="34"/>
      <c r="J122" s="34"/>
      <c r="K122" s="33">
        <v>315000</v>
      </c>
      <c r="L122" s="31">
        <v>53</v>
      </c>
    </row>
    <row r="123" spans="1:14" ht="20.85" customHeight="1" x14ac:dyDescent="0.2">
      <c r="A123" s="99"/>
      <c r="B123" s="244" t="s">
        <v>288</v>
      </c>
      <c r="C123" s="166"/>
      <c r="D123" s="166"/>
      <c r="E123" s="166"/>
      <c r="F123" s="166"/>
      <c r="G123" s="166"/>
      <c r="I123" s="34"/>
      <c r="J123" s="34"/>
      <c r="K123" s="33">
        <v>968000</v>
      </c>
      <c r="L123" s="31">
        <v>54</v>
      </c>
    </row>
    <row r="124" spans="1:14" ht="20.85" customHeight="1" x14ac:dyDescent="0.2">
      <c r="A124" s="99"/>
      <c r="B124" s="244" t="s">
        <v>287</v>
      </c>
      <c r="C124" s="166"/>
      <c r="D124" s="166"/>
      <c r="E124" s="166"/>
      <c r="F124" s="166"/>
      <c r="G124" s="166"/>
      <c r="I124" s="34"/>
      <c r="J124" s="34"/>
      <c r="K124" s="33">
        <v>338000</v>
      </c>
      <c r="L124" s="31">
        <v>55</v>
      </c>
    </row>
    <row r="125" spans="1:14" ht="20.85" customHeight="1" x14ac:dyDescent="0.2">
      <c r="A125" s="99"/>
      <c r="B125" s="244" t="s">
        <v>286</v>
      </c>
      <c r="C125" s="166"/>
      <c r="D125" s="166"/>
      <c r="E125" s="166"/>
      <c r="F125" s="166"/>
      <c r="G125" s="166"/>
      <c r="I125" s="34"/>
      <c r="J125" s="34"/>
      <c r="K125" s="33">
        <v>166000</v>
      </c>
      <c r="L125" s="31">
        <v>56</v>
      </c>
    </row>
    <row r="126" spans="1:14" ht="20.85" customHeight="1" thickBot="1" x14ac:dyDescent="0.25">
      <c r="A126" s="461"/>
      <c r="B126" s="465" t="s">
        <v>274</v>
      </c>
      <c r="C126" s="468"/>
      <c r="D126" s="468"/>
      <c r="E126" s="468"/>
      <c r="F126" s="468"/>
      <c r="G126" s="468"/>
      <c r="H126" s="462"/>
      <c r="I126" s="467"/>
      <c r="J126" s="467"/>
      <c r="K126" s="365">
        <f>K121+K122+K123+K124+K125</f>
        <v>2437000</v>
      </c>
      <c r="L126" s="361">
        <v>57</v>
      </c>
      <c r="M126" s="462"/>
      <c r="N126" s="462"/>
    </row>
    <row r="127" spans="1:14" ht="7.5" customHeight="1" thickTop="1" x14ac:dyDescent="0.2">
      <c r="A127" s="28"/>
      <c r="B127" s="28"/>
      <c r="C127" s="28"/>
      <c r="D127" s="28"/>
      <c r="E127" s="28"/>
      <c r="F127" s="28"/>
      <c r="G127" s="28"/>
      <c r="H127" s="28"/>
      <c r="I127" s="28"/>
      <c r="J127" s="28"/>
      <c r="K127" s="28"/>
      <c r="L127" s="28"/>
    </row>
    <row r="128" spans="1:14" ht="14.1" customHeight="1" x14ac:dyDescent="0.2">
      <c r="A128" s="461"/>
      <c r="B128" s="462"/>
      <c r="C128" s="462"/>
      <c r="D128" s="462"/>
      <c r="E128" s="462"/>
      <c r="F128" s="462"/>
      <c r="G128" s="462"/>
      <c r="H128" s="462"/>
      <c r="I128" s="463"/>
      <c r="J128" s="463"/>
      <c r="K128" s="463"/>
      <c r="L128" s="361"/>
      <c r="M128" s="462"/>
      <c r="N128" s="462"/>
    </row>
    <row r="129" spans="1:14" ht="20.85" customHeight="1" x14ac:dyDescent="0.25">
      <c r="A129" s="461"/>
      <c r="B129" s="464" t="s">
        <v>285</v>
      </c>
      <c r="C129" s="462"/>
      <c r="D129" s="462"/>
      <c r="E129" s="462"/>
      <c r="F129" s="462"/>
      <c r="G129" s="462"/>
      <c r="H129" s="462"/>
      <c r="I129" s="463"/>
      <c r="J129" s="463"/>
      <c r="K129" s="463"/>
      <c r="L129" s="361"/>
      <c r="M129" s="462"/>
      <c r="N129" s="462"/>
    </row>
    <row r="130" spans="1:14" ht="20.85" customHeight="1" x14ac:dyDescent="0.2">
      <c r="A130" s="461"/>
      <c r="B130" s="462" t="s">
        <v>284</v>
      </c>
      <c r="C130" s="462"/>
      <c r="D130" s="462"/>
      <c r="E130" s="462"/>
      <c r="F130" s="462"/>
      <c r="G130" s="462"/>
      <c r="H130" s="462"/>
      <c r="I130" s="463"/>
      <c r="J130" s="463"/>
      <c r="K130" s="463"/>
      <c r="L130" s="361"/>
      <c r="M130" s="462"/>
      <c r="N130" s="462"/>
    </row>
    <row r="131" spans="1:14" ht="20.85" customHeight="1" x14ac:dyDescent="0.2">
      <c r="A131" s="461"/>
      <c r="B131" s="462" t="s">
        <v>283</v>
      </c>
      <c r="C131" s="462"/>
      <c r="D131" s="462"/>
      <c r="E131" s="462"/>
      <c r="F131" s="462"/>
      <c r="G131" s="462"/>
      <c r="H131" s="462"/>
      <c r="I131" s="463"/>
      <c r="J131" s="463"/>
      <c r="K131" s="463"/>
      <c r="L131" s="361"/>
      <c r="M131" s="462"/>
      <c r="N131" s="462"/>
    </row>
    <row r="132" spans="1:14" ht="28.35" customHeight="1" x14ac:dyDescent="0.25">
      <c r="A132" s="461"/>
      <c r="B132" s="464" t="s">
        <v>282</v>
      </c>
      <c r="C132" s="462"/>
      <c r="D132" s="462"/>
      <c r="E132" s="462"/>
      <c r="F132" s="462"/>
      <c r="G132" s="462"/>
      <c r="H132" s="462"/>
      <c r="I132" s="463"/>
      <c r="J132" s="463"/>
      <c r="K132" s="463"/>
      <c r="L132" s="361"/>
      <c r="M132" s="462"/>
      <c r="N132" s="462"/>
    </row>
    <row r="133" spans="1:14" ht="20.85" customHeight="1" x14ac:dyDescent="0.2">
      <c r="A133" s="461"/>
      <c r="B133" s="465" t="s">
        <v>279</v>
      </c>
      <c r="C133" s="466"/>
      <c r="D133" s="466"/>
      <c r="E133" s="466"/>
      <c r="F133" s="466"/>
      <c r="G133" s="466"/>
      <c r="H133" s="462"/>
      <c r="I133" s="467"/>
      <c r="J133" s="467"/>
      <c r="K133" s="164">
        <v>302000</v>
      </c>
      <c r="L133" s="361">
        <v>58</v>
      </c>
      <c r="M133" s="462"/>
      <c r="N133" s="462"/>
    </row>
    <row r="134" spans="1:14" ht="20.85" customHeight="1" x14ac:dyDescent="0.2">
      <c r="A134" s="461"/>
      <c r="B134" s="465" t="s">
        <v>278</v>
      </c>
      <c r="C134" s="468"/>
      <c r="D134" s="468"/>
      <c r="E134" s="468"/>
      <c r="F134" s="468"/>
      <c r="G134" s="468"/>
      <c r="H134" s="462"/>
      <c r="I134" s="467"/>
      <c r="J134" s="467"/>
      <c r="K134" s="164">
        <v>348000</v>
      </c>
      <c r="L134" s="361">
        <v>59</v>
      </c>
      <c r="M134" s="462"/>
      <c r="N134" s="462"/>
    </row>
    <row r="135" spans="1:14" ht="20.85" customHeight="1" x14ac:dyDescent="0.2">
      <c r="A135" s="461"/>
      <c r="B135" s="465" t="s">
        <v>277</v>
      </c>
      <c r="C135" s="468"/>
      <c r="D135" s="468"/>
      <c r="E135" s="468"/>
      <c r="F135" s="468"/>
      <c r="G135" s="468"/>
      <c r="H135" s="462"/>
      <c r="I135" s="467"/>
      <c r="J135" s="467"/>
      <c r="K135" s="164">
        <v>551000</v>
      </c>
      <c r="L135" s="361">
        <v>60</v>
      </c>
      <c r="M135" s="462"/>
      <c r="N135" s="462"/>
    </row>
    <row r="136" spans="1:14" ht="20.85" customHeight="1" x14ac:dyDescent="0.2">
      <c r="A136" s="461"/>
      <c r="B136" s="465" t="s">
        <v>276</v>
      </c>
      <c r="C136" s="468"/>
      <c r="D136" s="468"/>
      <c r="E136" s="468"/>
      <c r="F136" s="468"/>
      <c r="G136" s="468"/>
      <c r="H136" s="462"/>
      <c r="I136" s="467"/>
      <c r="J136" s="467"/>
      <c r="K136" s="164">
        <v>451000</v>
      </c>
      <c r="L136" s="361">
        <v>61</v>
      </c>
      <c r="M136" s="462"/>
      <c r="N136" s="462"/>
    </row>
    <row r="137" spans="1:14" ht="20.85" customHeight="1" x14ac:dyDescent="0.2">
      <c r="A137" s="461"/>
      <c r="B137" s="465" t="s">
        <v>275</v>
      </c>
      <c r="C137" s="468"/>
      <c r="D137" s="468"/>
      <c r="E137" s="468"/>
      <c r="F137" s="468"/>
      <c r="G137" s="468"/>
      <c r="H137" s="462"/>
      <c r="I137" s="467"/>
      <c r="J137" s="467"/>
      <c r="K137" s="164">
        <v>350000</v>
      </c>
      <c r="L137" s="361">
        <v>62</v>
      </c>
      <c r="M137" s="462"/>
      <c r="N137" s="462"/>
    </row>
    <row r="138" spans="1:14" ht="20.85" customHeight="1" thickBot="1" x14ac:dyDescent="0.25">
      <c r="A138" s="461"/>
      <c r="B138" s="465" t="s">
        <v>281</v>
      </c>
      <c r="C138" s="468"/>
      <c r="D138" s="468"/>
      <c r="E138" s="468"/>
      <c r="F138" s="468"/>
      <c r="G138" s="468"/>
      <c r="H138" s="462"/>
      <c r="I138" s="467"/>
      <c r="J138" s="469">
        <v>3</v>
      </c>
      <c r="K138" s="365">
        <f>K137*J138</f>
        <v>1050000</v>
      </c>
      <c r="L138" s="361">
        <v>63</v>
      </c>
      <c r="M138" s="470" t="str">
        <f>IF(OR(K133&gt;0,K134&gt;0,K135&gt;0,K136&gt;0,K137&gt;0),IF(J138&gt;=3,"OK","ERROR"),"OK")</f>
        <v>OK</v>
      </c>
      <c r="N138" s="462"/>
    </row>
    <row r="139" spans="1:14" ht="20.85" customHeight="1" thickTop="1" thickBot="1" x14ac:dyDescent="0.25">
      <c r="A139" s="461"/>
      <c r="B139" s="465" t="s">
        <v>274</v>
      </c>
      <c r="C139" s="468"/>
      <c r="D139" s="468"/>
      <c r="E139" s="468"/>
      <c r="F139" s="468"/>
      <c r="G139" s="468"/>
      <c r="H139" s="462"/>
      <c r="I139" s="467"/>
      <c r="J139" s="467"/>
      <c r="K139" s="365">
        <f>K138</f>
        <v>1050000</v>
      </c>
      <c r="L139" s="361">
        <v>66</v>
      </c>
      <c r="M139" s="471"/>
      <c r="N139" s="462"/>
    </row>
    <row r="140" spans="1:14" ht="28.35" customHeight="1" thickTop="1" x14ac:dyDescent="0.25">
      <c r="A140" s="461"/>
      <c r="B140" s="464" t="s">
        <v>280</v>
      </c>
      <c r="C140" s="462"/>
      <c r="D140" s="462"/>
      <c r="E140" s="462"/>
      <c r="F140" s="462"/>
      <c r="G140" s="462"/>
      <c r="H140" s="462"/>
      <c r="I140" s="463"/>
      <c r="J140" s="463"/>
      <c r="K140" s="463"/>
      <c r="L140" s="361"/>
      <c r="M140" s="462"/>
      <c r="N140" s="462"/>
    </row>
    <row r="141" spans="1:14" ht="20.85" customHeight="1" x14ac:dyDescent="0.2">
      <c r="A141" s="461"/>
      <c r="B141" s="465" t="s">
        <v>279</v>
      </c>
      <c r="C141" s="466"/>
      <c r="D141" s="466"/>
      <c r="E141" s="466"/>
      <c r="F141" s="466"/>
      <c r="G141" s="466"/>
      <c r="H141" s="462"/>
      <c r="I141" s="467"/>
      <c r="J141" s="467"/>
      <c r="K141" s="164">
        <v>83000</v>
      </c>
      <c r="L141" s="361">
        <v>67</v>
      </c>
      <c r="M141" s="462"/>
      <c r="N141" s="462"/>
    </row>
    <row r="142" spans="1:14" ht="20.85" customHeight="1" x14ac:dyDescent="0.2">
      <c r="A142" s="461"/>
      <c r="B142" s="465" t="s">
        <v>278</v>
      </c>
      <c r="C142" s="468"/>
      <c r="D142" s="468"/>
      <c r="E142" s="468"/>
      <c r="F142" s="468"/>
      <c r="G142" s="468"/>
      <c r="H142" s="462"/>
      <c r="I142" s="467"/>
      <c r="J142" s="467"/>
      <c r="K142" s="164">
        <v>284000</v>
      </c>
      <c r="L142" s="361">
        <v>68</v>
      </c>
      <c r="M142" s="462"/>
      <c r="N142" s="462"/>
    </row>
    <row r="143" spans="1:14" ht="20.85" customHeight="1" x14ac:dyDescent="0.2">
      <c r="A143" s="461"/>
      <c r="B143" s="465" t="s">
        <v>277</v>
      </c>
      <c r="C143" s="468"/>
      <c r="D143" s="468"/>
      <c r="E143" s="468"/>
      <c r="F143" s="468"/>
      <c r="G143" s="468"/>
      <c r="H143" s="462"/>
      <c r="I143" s="467"/>
      <c r="J143" s="467"/>
      <c r="K143" s="164">
        <v>984000</v>
      </c>
      <c r="L143" s="361">
        <v>69</v>
      </c>
      <c r="M143" s="462"/>
      <c r="N143" s="462"/>
    </row>
    <row r="144" spans="1:14" ht="20.85" customHeight="1" x14ac:dyDescent="0.2">
      <c r="A144" s="461"/>
      <c r="B144" s="465" t="s">
        <v>276</v>
      </c>
      <c r="C144" s="468"/>
      <c r="D144" s="468"/>
      <c r="E144" s="468"/>
      <c r="F144" s="468"/>
      <c r="G144" s="468"/>
      <c r="H144" s="462"/>
      <c r="I144" s="467"/>
      <c r="J144" s="467"/>
      <c r="K144" s="164">
        <v>161000</v>
      </c>
      <c r="L144" s="361">
        <v>70</v>
      </c>
      <c r="M144" s="462"/>
      <c r="N144" s="462"/>
    </row>
    <row r="145" spans="1:14" ht="20.85" customHeight="1" x14ac:dyDescent="0.2">
      <c r="A145" s="461"/>
      <c r="B145" s="465" t="s">
        <v>275</v>
      </c>
      <c r="C145" s="468"/>
      <c r="D145" s="468"/>
      <c r="E145" s="468"/>
      <c r="F145" s="468"/>
      <c r="G145" s="468"/>
      <c r="H145" s="462"/>
      <c r="I145" s="467"/>
      <c r="J145" s="467"/>
      <c r="K145" s="164">
        <v>347000</v>
      </c>
      <c r="L145" s="361">
        <v>71</v>
      </c>
      <c r="M145" s="462"/>
      <c r="N145" s="462"/>
    </row>
    <row r="146" spans="1:14" ht="20.85" customHeight="1" thickBot="1" x14ac:dyDescent="0.25">
      <c r="A146" s="461"/>
      <c r="B146" s="465" t="s">
        <v>274</v>
      </c>
      <c r="C146" s="468"/>
      <c r="D146" s="468"/>
      <c r="E146" s="468"/>
      <c r="F146" s="468"/>
      <c r="G146" s="468"/>
      <c r="H146" s="462"/>
      <c r="I146" s="467"/>
      <c r="J146" s="467"/>
      <c r="K146" s="365">
        <f>K145</f>
        <v>347000</v>
      </c>
      <c r="L146" s="361">
        <v>74</v>
      </c>
      <c r="M146" s="471"/>
      <c r="N146" s="462"/>
    </row>
    <row r="147" spans="1:14" ht="28.35" customHeight="1" thickTop="1" x14ac:dyDescent="0.25">
      <c r="A147" s="461"/>
      <c r="B147" s="464" t="s">
        <v>273</v>
      </c>
      <c r="C147" s="461"/>
      <c r="D147" s="472"/>
      <c r="E147" s="461"/>
      <c r="F147" s="461"/>
      <c r="G147" s="461"/>
      <c r="H147" s="462"/>
      <c r="I147" s="473"/>
      <c r="J147" s="473"/>
      <c r="K147" s="474"/>
      <c r="L147" s="361"/>
      <c r="M147" s="475"/>
      <c r="N147" s="462"/>
    </row>
    <row r="148" spans="1:14" ht="20.85" customHeight="1" x14ac:dyDescent="0.2">
      <c r="A148" s="461"/>
      <c r="B148" s="465" t="s">
        <v>272</v>
      </c>
      <c r="C148" s="466"/>
      <c r="D148" s="466"/>
      <c r="E148" s="466"/>
      <c r="F148" s="466"/>
      <c r="G148" s="476"/>
      <c r="H148" s="462"/>
      <c r="I148" s="467"/>
      <c r="J148" s="467"/>
      <c r="K148" s="477">
        <v>364000</v>
      </c>
      <c r="L148" s="361">
        <v>83</v>
      </c>
      <c r="M148" s="475"/>
      <c r="N148" s="462"/>
    </row>
    <row r="149" spans="1:14" ht="20.85" customHeight="1" x14ac:dyDescent="0.2">
      <c r="A149" s="461"/>
      <c r="B149" s="478" t="s">
        <v>271</v>
      </c>
      <c r="C149" s="468"/>
      <c r="D149" s="479"/>
      <c r="E149" s="468"/>
      <c r="F149" s="468"/>
      <c r="G149" s="468"/>
      <c r="H149" s="462"/>
      <c r="I149" s="467"/>
      <c r="J149" s="467"/>
      <c r="K149" s="477">
        <v>985000</v>
      </c>
      <c r="L149" s="361">
        <v>84</v>
      </c>
      <c r="M149" s="475"/>
      <c r="N149" s="462"/>
    </row>
    <row r="150" spans="1:14" ht="28.35" customHeight="1" x14ac:dyDescent="0.25">
      <c r="A150" s="461"/>
      <c r="B150" s="464" t="s">
        <v>270</v>
      </c>
      <c r="C150" s="461"/>
      <c r="D150" s="472"/>
      <c r="E150" s="461"/>
      <c r="F150" s="461"/>
      <c r="G150" s="461"/>
      <c r="H150" s="462"/>
      <c r="I150" s="473"/>
      <c r="J150" s="473"/>
      <c r="K150" s="474"/>
      <c r="L150" s="361"/>
      <c r="M150" s="475"/>
      <c r="N150" s="462"/>
    </row>
    <row r="151" spans="1:14" ht="20.85" customHeight="1" x14ac:dyDescent="0.2">
      <c r="A151" s="461"/>
      <c r="B151" s="465" t="s">
        <v>269</v>
      </c>
      <c r="C151" s="466"/>
      <c r="D151" s="476"/>
      <c r="E151" s="466"/>
      <c r="F151" s="466"/>
      <c r="G151" s="466"/>
      <c r="H151" s="462"/>
      <c r="I151" s="467"/>
      <c r="J151" s="467"/>
      <c r="K151" s="477">
        <v>383000</v>
      </c>
      <c r="L151" s="361">
        <v>85</v>
      </c>
      <c r="M151" s="475"/>
      <c r="N151" s="462"/>
    </row>
    <row r="152" spans="1:14" ht="20.85" customHeight="1" x14ac:dyDescent="0.2">
      <c r="A152" s="461"/>
      <c r="B152" s="478" t="s">
        <v>268</v>
      </c>
      <c r="C152" s="468"/>
      <c r="D152" s="479"/>
      <c r="E152" s="468"/>
      <c r="F152" s="468"/>
      <c r="G152" s="468"/>
      <c r="H152" s="462"/>
      <c r="I152" s="467"/>
      <c r="J152" s="467"/>
      <c r="K152" s="477">
        <v>802000</v>
      </c>
      <c r="L152" s="361">
        <v>86</v>
      </c>
      <c r="M152" s="475"/>
      <c r="N152" s="462"/>
    </row>
    <row r="153" spans="1:14" ht="28.35" customHeight="1" x14ac:dyDescent="0.25">
      <c r="A153" s="461"/>
      <c r="B153" s="464" t="s">
        <v>267</v>
      </c>
      <c r="C153" s="461"/>
      <c r="D153" s="472"/>
      <c r="E153" s="461"/>
      <c r="F153" s="461"/>
      <c r="G153" s="461"/>
      <c r="H153" s="462"/>
      <c r="I153" s="473"/>
      <c r="J153" s="473"/>
      <c r="K153" s="474"/>
      <c r="L153" s="361"/>
      <c r="M153" s="475"/>
      <c r="N153" s="462"/>
    </row>
    <row r="154" spans="1:14" ht="20.85" customHeight="1" x14ac:dyDescent="0.2">
      <c r="A154" s="461"/>
      <c r="B154" s="465" t="s">
        <v>266</v>
      </c>
      <c r="C154" s="466"/>
      <c r="D154" s="476"/>
      <c r="E154" s="466"/>
      <c r="F154" s="466"/>
      <c r="G154" s="466"/>
      <c r="H154" s="462"/>
      <c r="I154" s="467"/>
      <c r="J154" s="467"/>
      <c r="K154" s="477">
        <v>216000</v>
      </c>
      <c r="L154" s="361">
        <v>87</v>
      </c>
      <c r="M154" s="475"/>
      <c r="N154" s="462"/>
    </row>
    <row r="155" spans="1:14" ht="20.85" customHeight="1" x14ac:dyDescent="0.2">
      <c r="A155" s="461"/>
      <c r="B155" s="478" t="s">
        <v>265</v>
      </c>
      <c r="C155" s="468"/>
      <c r="D155" s="479"/>
      <c r="E155" s="468"/>
      <c r="F155" s="468"/>
      <c r="G155" s="468"/>
      <c r="H155" s="462"/>
      <c r="I155" s="467"/>
      <c r="J155" s="467"/>
      <c r="K155" s="477">
        <v>485000</v>
      </c>
      <c r="L155" s="361">
        <v>88</v>
      </c>
      <c r="M155" s="475"/>
      <c r="N155" s="462"/>
    </row>
    <row r="156" spans="1:14" ht="20.85" customHeight="1" x14ac:dyDescent="0.2">
      <c r="A156" s="461"/>
      <c r="B156" s="478" t="s">
        <v>264</v>
      </c>
      <c r="C156" s="468"/>
      <c r="D156" s="479"/>
      <c r="E156" s="468"/>
      <c r="F156" s="468"/>
      <c r="G156" s="468"/>
      <c r="H156" s="462"/>
      <c r="I156" s="467"/>
      <c r="J156" s="467"/>
      <c r="K156" s="164">
        <v>898000</v>
      </c>
      <c r="L156" s="361">
        <v>95</v>
      </c>
      <c r="M156" s="475"/>
      <c r="N156" s="462"/>
    </row>
    <row r="157" spans="1:14" ht="20.85" customHeight="1" x14ac:dyDescent="0.2">
      <c r="A157" s="461"/>
      <c r="B157" s="478" t="s">
        <v>263</v>
      </c>
      <c r="C157" s="468"/>
      <c r="D157" s="479"/>
      <c r="E157" s="468"/>
      <c r="F157" s="468"/>
      <c r="G157" s="468"/>
      <c r="H157" s="462"/>
      <c r="I157" s="467"/>
      <c r="J157" s="467"/>
      <c r="K157" s="164">
        <v>272000</v>
      </c>
      <c r="L157" s="361">
        <v>96</v>
      </c>
      <c r="M157" s="475"/>
      <c r="N157" s="462"/>
    </row>
    <row r="158" spans="1:14" ht="20.85" customHeight="1" x14ac:dyDescent="0.2">
      <c r="A158" s="461"/>
      <c r="B158" s="478" t="s">
        <v>262</v>
      </c>
      <c r="C158" s="468"/>
      <c r="D158" s="479"/>
      <c r="E158" s="468"/>
      <c r="F158" s="468"/>
      <c r="G158" s="468"/>
      <c r="H158" s="462"/>
      <c r="I158" s="467"/>
      <c r="J158" s="467"/>
      <c r="K158" s="164">
        <v>107000</v>
      </c>
      <c r="L158" s="361">
        <v>97</v>
      </c>
      <c r="M158" s="475"/>
      <c r="N158" s="462"/>
    </row>
    <row r="159" spans="1:14" ht="31.35" customHeight="1" x14ac:dyDescent="0.2">
      <c r="A159" s="461"/>
      <c r="B159" s="480" t="s">
        <v>261</v>
      </c>
      <c r="C159" s="462"/>
      <c r="D159" s="462"/>
      <c r="E159" s="462"/>
      <c r="F159" s="462"/>
      <c r="G159" s="462"/>
      <c r="H159" s="462"/>
      <c r="I159" s="463"/>
      <c r="J159" s="463"/>
      <c r="K159" s="463"/>
      <c r="L159" s="361"/>
      <c r="M159" s="462"/>
      <c r="N159" s="462"/>
    </row>
    <row r="160" spans="1:14" ht="20.85" customHeight="1" thickBot="1" x14ac:dyDescent="0.25">
      <c r="A160" s="461"/>
      <c r="B160" s="465" t="s">
        <v>260</v>
      </c>
      <c r="C160" s="466"/>
      <c r="D160" s="466"/>
      <c r="E160" s="466"/>
      <c r="F160" s="466"/>
      <c r="G160" s="466"/>
      <c r="H160" s="462"/>
      <c r="I160" s="467"/>
      <c r="J160" s="467"/>
      <c r="K160" s="365">
        <f>MAX(K139,K146)+MAX(K148:K149)+MAX(K151:K152)+MAX(K154:K156)</f>
        <v>3735000</v>
      </c>
      <c r="L160" s="361">
        <v>75</v>
      </c>
      <c r="M160" s="462"/>
      <c r="N160" s="462"/>
    </row>
    <row r="161" spans="1:14" ht="7.5" customHeight="1" thickTop="1" x14ac:dyDescent="0.2">
      <c r="A161" s="481"/>
      <c r="B161" s="481"/>
      <c r="C161" s="481"/>
      <c r="D161" s="481"/>
      <c r="E161" s="481"/>
      <c r="F161" s="481"/>
      <c r="G161" s="481"/>
      <c r="H161" s="481"/>
      <c r="I161" s="481"/>
      <c r="J161" s="481"/>
      <c r="K161" s="481"/>
      <c r="L161" s="481"/>
      <c r="M161" s="462"/>
      <c r="N161" s="462"/>
    </row>
    <row r="162" spans="1:14" ht="18.75" customHeight="1" x14ac:dyDescent="0.2">
      <c r="A162" s="462"/>
      <c r="B162" s="488" t="str">
        <f>"Version: "&amp;D176</f>
        <v>Version: 2.00.E1</v>
      </c>
      <c r="C162" s="462"/>
      <c r="D162" s="462"/>
      <c r="E162" s="462"/>
      <c r="F162" s="462"/>
      <c r="G162" s="462"/>
      <c r="H162" s="462"/>
      <c r="I162" s="462"/>
      <c r="J162" s="462"/>
      <c r="K162" s="462"/>
      <c r="L162" s="489" t="s">
        <v>25</v>
      </c>
      <c r="M162" s="462"/>
      <c r="N162" s="462"/>
    </row>
    <row r="163" spans="1:14" ht="20.85" customHeight="1" x14ac:dyDescent="0.2">
      <c r="A163" s="462"/>
      <c r="B163" s="462"/>
      <c r="C163" s="462"/>
      <c r="D163" s="462"/>
      <c r="E163" s="462"/>
      <c r="F163" s="462"/>
      <c r="G163" s="462"/>
      <c r="H163" s="462"/>
      <c r="I163" s="462"/>
      <c r="J163" s="462"/>
      <c r="K163" s="462"/>
      <c r="L163" s="462"/>
      <c r="M163" s="462"/>
      <c r="N163" s="462"/>
    </row>
    <row r="164" spans="1:14" ht="20.85" customHeight="1" x14ac:dyDescent="0.2">
      <c r="A164" s="484" t="s">
        <v>259</v>
      </c>
      <c r="B164" s="462" t="s">
        <v>258</v>
      </c>
      <c r="C164" s="462"/>
      <c r="D164" s="462"/>
      <c r="E164" s="462"/>
      <c r="F164" s="462"/>
      <c r="G164" s="462"/>
      <c r="H164" s="462"/>
      <c r="I164" s="462"/>
      <c r="J164" s="462"/>
      <c r="K164" s="462"/>
      <c r="L164" s="462"/>
      <c r="M164" s="462"/>
      <c r="N164" s="462"/>
    </row>
    <row r="165" spans="1:14" ht="20.85" customHeight="1" x14ac:dyDescent="0.2">
      <c r="A165" s="484" t="s">
        <v>257</v>
      </c>
      <c r="B165" s="462" t="s">
        <v>256</v>
      </c>
      <c r="C165" s="462"/>
      <c r="D165" s="462"/>
      <c r="E165" s="462"/>
      <c r="F165" s="462"/>
      <c r="G165" s="462"/>
      <c r="H165" s="462"/>
      <c r="I165" s="462"/>
      <c r="J165" s="462"/>
      <c r="K165" s="462"/>
      <c r="L165" s="462"/>
      <c r="M165" s="462"/>
      <c r="N165" s="462"/>
    </row>
    <row r="166" spans="1:14" x14ac:dyDescent="0.2">
      <c r="A166" s="490"/>
      <c r="B166" s="462" t="s">
        <v>255</v>
      </c>
      <c r="C166" s="462"/>
      <c r="D166" s="462"/>
      <c r="E166" s="462"/>
      <c r="F166" s="462"/>
      <c r="G166" s="462"/>
      <c r="H166" s="462"/>
      <c r="I166" s="462"/>
      <c r="J166" s="462"/>
      <c r="K166" s="462"/>
      <c r="L166" s="462"/>
      <c r="M166" s="462"/>
      <c r="N166" s="462"/>
    </row>
    <row r="167" spans="1:14" ht="20.85" customHeight="1" x14ac:dyDescent="0.2">
      <c r="A167" s="484" t="s">
        <v>254</v>
      </c>
      <c r="B167" s="462" t="s">
        <v>253</v>
      </c>
      <c r="C167" s="462"/>
      <c r="D167" s="462"/>
      <c r="E167" s="462"/>
      <c r="F167" s="462"/>
      <c r="G167" s="462"/>
      <c r="H167" s="462"/>
      <c r="I167" s="462"/>
      <c r="J167" s="462"/>
      <c r="K167" s="462"/>
      <c r="L167" s="462"/>
      <c r="M167" s="462"/>
      <c r="N167" s="462"/>
    </row>
    <row r="168" spans="1:14" x14ac:dyDescent="0.2">
      <c r="A168" s="490"/>
      <c r="B168" s="462" t="s">
        <v>252</v>
      </c>
      <c r="C168" s="462"/>
      <c r="D168" s="462"/>
      <c r="E168" s="462"/>
      <c r="F168" s="462"/>
      <c r="G168" s="462"/>
      <c r="H168" s="462"/>
      <c r="I168" s="462"/>
      <c r="J168" s="462"/>
      <c r="K168" s="462"/>
      <c r="L168" s="462"/>
      <c r="M168" s="462"/>
      <c r="N168" s="462"/>
    </row>
    <row r="169" spans="1:14" x14ac:dyDescent="0.2">
      <c r="A169" s="490"/>
      <c r="B169" s="462" t="s">
        <v>251</v>
      </c>
      <c r="C169" s="462"/>
      <c r="D169" s="462"/>
      <c r="E169" s="462"/>
      <c r="F169" s="462"/>
      <c r="G169" s="462"/>
      <c r="H169" s="462"/>
      <c r="I169" s="462"/>
      <c r="J169" s="462"/>
      <c r="K169" s="462"/>
      <c r="L169" s="462"/>
      <c r="M169" s="462"/>
      <c r="N169" s="462"/>
    </row>
    <row r="170" spans="1:14" ht="20.85" customHeight="1" x14ac:dyDescent="0.2">
      <c r="A170" s="484" t="s">
        <v>250</v>
      </c>
      <c r="B170" s="462" t="s">
        <v>249</v>
      </c>
      <c r="C170" s="462"/>
      <c r="D170" s="462"/>
      <c r="E170" s="462"/>
      <c r="F170" s="462"/>
      <c r="G170" s="462"/>
      <c r="H170" s="462"/>
      <c r="I170" s="462"/>
      <c r="J170" s="462"/>
      <c r="K170" s="462"/>
      <c r="L170" s="462"/>
      <c r="M170" s="462"/>
      <c r="N170" s="462"/>
    </row>
    <row r="173" spans="1:14" x14ac:dyDescent="0.2">
      <c r="A173" s="21"/>
      <c r="B173" s="237"/>
      <c r="C173" s="20" t="s">
        <v>24</v>
      </c>
      <c r="D173" s="19" t="str">
        <f>K2</f>
        <v>XXXXXX</v>
      </c>
    </row>
    <row r="174" spans="1:14" x14ac:dyDescent="0.2">
      <c r="A174" s="15"/>
      <c r="B174" s="61"/>
      <c r="C174" s="9"/>
      <c r="D174" s="239" t="str">
        <f>K1</f>
        <v>P_MKR_BIS</v>
      </c>
    </row>
    <row r="175" spans="1:14" x14ac:dyDescent="0.2">
      <c r="A175" s="15"/>
      <c r="B175" s="61"/>
      <c r="C175" s="9"/>
      <c r="D175" s="239" t="str">
        <f>K3</f>
        <v>DD.MM.YYYY</v>
      </c>
    </row>
    <row r="176" spans="1:14" x14ac:dyDescent="0.2">
      <c r="A176" s="15"/>
      <c r="B176" s="61"/>
      <c r="C176" s="9"/>
      <c r="D176" s="16" t="s">
        <v>248</v>
      </c>
    </row>
    <row r="177" spans="1:4" x14ac:dyDescent="0.2">
      <c r="A177" s="15"/>
      <c r="B177" s="61"/>
      <c r="C177" s="9"/>
      <c r="D177" s="216" t="str">
        <f>I10</f>
        <v>col. 01</v>
      </c>
    </row>
    <row r="178" spans="1:4" x14ac:dyDescent="0.2">
      <c r="A178" s="13"/>
      <c r="B178" s="212"/>
      <c r="C178" s="12"/>
      <c r="D178" s="243">
        <f>COUNTIF(M11:M170,"ERROR")+COUNTIF(N10,"ERROR")</f>
        <v>0</v>
      </c>
    </row>
    <row r="179" spans="1:4" x14ac:dyDescent="0.2">
      <c r="A179" s="9"/>
      <c r="B179" s="242">
        <f>COUNTIF(M11:M170,"WARNUNG")</f>
        <v>0</v>
      </c>
      <c r="C179" s="8"/>
      <c r="D179" s="9"/>
    </row>
  </sheetData>
  <mergeCells count="1">
    <mergeCell ref="B30:G30"/>
  </mergeCells>
  <printOptions gridLines="1" gridLinesSet="0"/>
  <pageMargins left="0.39370078740157483" right="0.39370078740157483" top="0.39370078740157483" bottom="0.39370078740157483" header="0.31496062992125984" footer="0.31496062992125984"/>
  <pageSetup paperSize="9" scale="62" fitToHeight="2" pageOrder="overThenDown" orientation="portrait" horizontalDpi="4294967292" verticalDpi="4294967292" r:id="rId1"/>
  <headerFooter alignWithMargins="0">
    <oddFooter>&amp;L&amp;"Arial,Fett"SNB Confidential&amp;C&amp;D&amp;RPage &amp;P</oddFooter>
  </headerFooter>
  <rowBreaks count="2" manualBreakCount="2">
    <brk id="75" max="11" man="1"/>
    <brk id="127" max="11" man="1"/>
  </rowBreaks>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Tabelle31">
    <tabColor rgb="FF92D050"/>
  </sheetPr>
  <dimension ref="A1:O115"/>
  <sheetViews>
    <sheetView zoomScale="85" zoomScaleNormal="85" workbookViewId="0">
      <selection activeCell="S17" sqref="S17"/>
    </sheetView>
  </sheetViews>
  <sheetFormatPr defaultColWidth="13.42578125" defaultRowHeight="12.75" x14ac:dyDescent="0.2"/>
  <cols>
    <col min="1" max="1" width="14.42578125" style="107" customWidth="1"/>
    <col min="2" max="2" width="32.5703125" style="107" customWidth="1"/>
    <col min="3" max="3" width="13.42578125" style="107" customWidth="1"/>
    <col min="4" max="4" width="14.42578125" style="107" customWidth="1"/>
    <col min="5" max="5" width="19.42578125" style="107" customWidth="1"/>
    <col min="6" max="6" width="18" style="107" customWidth="1"/>
    <col min="7" max="7" width="10.42578125" style="107" customWidth="1"/>
    <col min="8" max="8" width="4.42578125" style="107" bestFit="1" customWidth="1"/>
    <col min="9" max="11" width="23.5703125" style="107" customWidth="1"/>
    <col min="12" max="12" width="4.5703125" style="107" customWidth="1"/>
    <col min="13" max="13" width="9.42578125" style="107" customWidth="1"/>
    <col min="14" max="14" width="26.42578125" style="107" customWidth="1"/>
    <col min="15" max="16384" width="13.42578125" style="107"/>
  </cols>
  <sheetData>
    <row r="1" spans="1:14" ht="25.35" customHeight="1" x14ac:dyDescent="0.2">
      <c r="E1" s="1404" t="s">
        <v>1272</v>
      </c>
      <c r="J1" s="202" t="s">
        <v>100</v>
      </c>
      <c r="K1" s="1405" t="s">
        <v>1249</v>
      </c>
    </row>
    <row r="2" spans="1:14" ht="25.35" customHeight="1" x14ac:dyDescent="0.2">
      <c r="A2" s="860"/>
      <c r="B2" s="860"/>
      <c r="E2" s="9" t="s">
        <v>99</v>
      </c>
      <c r="J2" s="202" t="s">
        <v>98</v>
      </c>
      <c r="K2" s="1046" t="s">
        <v>119</v>
      </c>
    </row>
    <row r="3" spans="1:14" ht="25.35" customHeight="1" x14ac:dyDescent="0.2">
      <c r="E3" s="1" t="s">
        <v>94</v>
      </c>
      <c r="J3" s="202" t="s">
        <v>96</v>
      </c>
      <c r="K3" s="1047" t="s">
        <v>121</v>
      </c>
    </row>
    <row r="4" spans="1:14" x14ac:dyDescent="0.2">
      <c r="A4" s="860"/>
      <c r="C4" s="1"/>
    </row>
    <row r="5" spans="1:14" ht="14.25" x14ac:dyDescent="0.2">
      <c r="A5" s="860"/>
      <c r="B5" s="106" t="s">
        <v>2250</v>
      </c>
      <c r="C5" s="1048"/>
    </row>
    <row r="6" spans="1:14" ht="8.85" customHeight="1" x14ac:dyDescent="0.2">
      <c r="G6" s="1049"/>
      <c r="H6" s="1049"/>
      <c r="I6" s="1049"/>
      <c r="J6" s="1049"/>
      <c r="K6" s="1049"/>
    </row>
    <row r="7" spans="1:14" ht="8.85" customHeight="1" x14ac:dyDescent="0.2">
      <c r="G7" s="1049"/>
      <c r="H7" s="1049"/>
      <c r="I7" s="1049"/>
      <c r="J7" s="1049"/>
    </row>
    <row r="8" spans="1:14" ht="16.350000000000001" customHeight="1" x14ac:dyDescent="0.2">
      <c r="B8" s="1050"/>
      <c r="C8" s="1051"/>
      <c r="L8" s="141"/>
    </row>
    <row r="9" spans="1:14" ht="31.35" customHeight="1" x14ac:dyDescent="0.2">
      <c r="A9" s="1052"/>
      <c r="B9" s="1052"/>
      <c r="C9" s="1053"/>
      <c r="D9" s="1052"/>
      <c r="E9" s="1052"/>
      <c r="F9" s="1052"/>
      <c r="G9" s="1052"/>
      <c r="H9" s="1055"/>
      <c r="I9" s="1054" t="s">
        <v>344</v>
      </c>
      <c r="J9" s="1407" t="s">
        <v>2220</v>
      </c>
      <c r="K9" s="1054" t="s">
        <v>194</v>
      </c>
      <c r="L9" s="1080"/>
      <c r="N9" s="860" t="s">
        <v>1970</v>
      </c>
    </row>
    <row r="10" spans="1:14" ht="18.75" customHeight="1" x14ac:dyDescent="0.2">
      <c r="A10" s="141"/>
      <c r="B10" s="141"/>
      <c r="C10" s="141"/>
      <c r="D10" s="141"/>
      <c r="E10" s="141"/>
      <c r="F10" s="141"/>
      <c r="G10" s="1056"/>
      <c r="H10" s="859"/>
      <c r="I10" s="887" t="s">
        <v>22</v>
      </c>
      <c r="J10" s="887" t="s">
        <v>21</v>
      </c>
      <c r="K10" s="887" t="s">
        <v>20</v>
      </c>
      <c r="L10" s="859"/>
      <c r="N10" s="1057" t="str">
        <f>IF(MIN(I11:K103)&lt;0,"ERROR","OK")</f>
        <v>OK</v>
      </c>
    </row>
    <row r="11" spans="1:14" ht="45" customHeight="1" thickBot="1" x14ac:dyDescent="0.25">
      <c r="A11" s="182" t="s">
        <v>1306</v>
      </c>
      <c r="B11" s="1714" t="s">
        <v>1869</v>
      </c>
      <c r="C11" s="1714"/>
      <c r="D11" s="1714"/>
      <c r="E11" s="1714"/>
      <c r="F11" s="1714"/>
      <c r="G11" s="1714"/>
      <c r="H11" s="396" t="s">
        <v>241</v>
      </c>
      <c r="I11" s="1044"/>
      <c r="J11" s="1065"/>
      <c r="K11" s="1058">
        <f>SUM(K15,K27,K33,K62,K35,K64)</f>
        <v>22094972.399999999</v>
      </c>
      <c r="L11" s="1422" t="s">
        <v>241</v>
      </c>
    </row>
    <row r="12" spans="1:14" ht="8.85" customHeight="1" thickTop="1" x14ac:dyDescent="0.2">
      <c r="A12" s="182"/>
      <c r="B12" s="1042"/>
      <c r="C12" s="938"/>
      <c r="D12" s="938"/>
      <c r="E12" s="938"/>
      <c r="F12" s="938"/>
      <c r="G12" s="938"/>
      <c r="H12" s="396"/>
      <c r="I12" s="888"/>
      <c r="J12" s="1066"/>
      <c r="K12" s="888"/>
      <c r="L12" s="396"/>
    </row>
    <row r="13" spans="1:14" ht="13.5" thickBot="1" x14ac:dyDescent="0.25">
      <c r="A13" s="900" t="s">
        <v>197</v>
      </c>
      <c r="B13" s="1714" t="s">
        <v>1855</v>
      </c>
      <c r="C13" s="1714"/>
      <c r="D13" s="1714"/>
      <c r="E13" s="1714"/>
      <c r="F13" s="1714"/>
      <c r="G13" s="1714"/>
      <c r="H13" s="396"/>
      <c r="I13" s="1067"/>
      <c r="J13" s="1067"/>
      <c r="K13" s="1058">
        <f>K15</f>
        <v>3232800</v>
      </c>
      <c r="L13" s="396"/>
    </row>
    <row r="14" spans="1:14" ht="20.85" customHeight="1" thickTop="1" thickBot="1" x14ac:dyDescent="0.25">
      <c r="A14" s="900" t="s">
        <v>1861</v>
      </c>
      <c r="B14" s="1717" t="s">
        <v>1246</v>
      </c>
      <c r="C14" s="1717"/>
      <c r="D14" s="1717"/>
      <c r="E14" s="1717"/>
      <c r="F14" s="1717"/>
      <c r="G14" s="1717"/>
      <c r="H14" s="396" t="s">
        <v>241</v>
      </c>
      <c r="I14" s="1067"/>
      <c r="J14" s="1067"/>
      <c r="K14" s="1428">
        <f>SUM(K16,K17)</f>
        <v>2694000</v>
      </c>
      <c r="L14" s="229" t="s">
        <v>241</v>
      </c>
    </row>
    <row r="15" spans="1:14" ht="20.85" customHeight="1" thickTop="1" thickBot="1" x14ac:dyDescent="0.25">
      <c r="A15" s="900" t="s">
        <v>1862</v>
      </c>
      <c r="B15" s="1717" t="s">
        <v>1247</v>
      </c>
      <c r="C15" s="1717"/>
      <c r="D15" s="1717"/>
      <c r="E15" s="1717"/>
      <c r="F15" s="1717"/>
      <c r="G15" s="1717"/>
      <c r="H15" s="396" t="s">
        <v>241</v>
      </c>
      <c r="I15" s="1067"/>
      <c r="J15" s="1068">
        <v>1.2</v>
      </c>
      <c r="K15" s="1428">
        <f>J15*K14</f>
        <v>3232800</v>
      </c>
      <c r="L15" s="229" t="s">
        <v>241</v>
      </c>
    </row>
    <row r="16" spans="1:14" ht="21.6" customHeight="1" thickTop="1" x14ac:dyDescent="0.2">
      <c r="A16" s="900" t="s">
        <v>1517</v>
      </c>
      <c r="B16" s="1551" t="s">
        <v>1259</v>
      </c>
      <c r="C16" s="1551"/>
      <c r="D16" s="1551"/>
      <c r="E16" s="1551"/>
      <c r="F16" s="1551"/>
      <c r="G16" s="1551"/>
      <c r="H16" s="396" t="s">
        <v>241</v>
      </c>
      <c r="I16" s="1067"/>
      <c r="J16" s="1069"/>
      <c r="K16" s="1059">
        <v>30000</v>
      </c>
      <c r="L16" s="396" t="s">
        <v>241</v>
      </c>
    </row>
    <row r="17" spans="1:13" ht="20.85" customHeight="1" thickBot="1" x14ac:dyDescent="0.25">
      <c r="A17" s="900" t="s">
        <v>1525</v>
      </c>
      <c r="B17" s="1632" t="s">
        <v>288</v>
      </c>
      <c r="C17" s="1632"/>
      <c r="D17" s="1632"/>
      <c r="E17" s="1632"/>
      <c r="F17" s="1632"/>
      <c r="G17" s="1632"/>
      <c r="H17" s="396" t="s">
        <v>241</v>
      </c>
      <c r="I17" s="1067"/>
      <c r="J17" s="1069"/>
      <c r="K17" s="1428">
        <f>SUM(K75,K82,K88,K94)</f>
        <v>2664000</v>
      </c>
      <c r="L17" s="229" t="s">
        <v>241</v>
      </c>
    </row>
    <row r="18" spans="1:13" ht="8.85" customHeight="1" thickTop="1" x14ac:dyDescent="0.2">
      <c r="A18" s="182"/>
      <c r="B18" s="1042"/>
      <c r="C18" s="938"/>
      <c r="D18" s="938"/>
      <c r="E18" s="938"/>
      <c r="F18" s="938"/>
      <c r="G18" s="938"/>
      <c r="H18" s="396"/>
      <c r="I18" s="888"/>
      <c r="J18" s="1066"/>
      <c r="K18" s="888"/>
      <c r="L18" s="396"/>
    </row>
    <row r="19" spans="1:13" ht="13.5" thickBot="1" x14ac:dyDescent="0.25">
      <c r="A19" s="900" t="s">
        <v>199</v>
      </c>
      <c r="B19" s="1714" t="s">
        <v>1854</v>
      </c>
      <c r="C19" s="1714"/>
      <c r="D19" s="1714"/>
      <c r="E19" s="1714"/>
      <c r="F19" s="1714"/>
      <c r="G19" s="1714"/>
      <c r="H19" s="396"/>
      <c r="I19" s="1067"/>
      <c r="J19" s="1067"/>
      <c r="K19" s="1058">
        <f>K21</f>
        <v>2988000</v>
      </c>
      <c r="L19" s="396"/>
    </row>
    <row r="20" spans="1:13" ht="20.85" customHeight="1" thickTop="1" thickBot="1" x14ac:dyDescent="0.25">
      <c r="A20" s="900" t="s">
        <v>1859</v>
      </c>
      <c r="B20" s="1717" t="s">
        <v>1246</v>
      </c>
      <c r="C20" s="1717"/>
      <c r="D20" s="1717"/>
      <c r="E20" s="1717"/>
      <c r="F20" s="1717"/>
      <c r="G20" s="1717"/>
      <c r="H20" s="396" t="s">
        <v>241</v>
      </c>
      <c r="I20" s="1067"/>
      <c r="J20" s="1067"/>
      <c r="K20" s="1428">
        <f>SUM(K22,K23)</f>
        <v>2490000</v>
      </c>
      <c r="L20" s="229" t="s">
        <v>241</v>
      </c>
    </row>
    <row r="21" spans="1:13" ht="20.85" customHeight="1" thickTop="1" thickBot="1" x14ac:dyDescent="0.25">
      <c r="A21" s="900" t="s">
        <v>1860</v>
      </c>
      <c r="B21" s="1717" t="s">
        <v>1247</v>
      </c>
      <c r="C21" s="1717"/>
      <c r="D21" s="1717"/>
      <c r="E21" s="1717"/>
      <c r="F21" s="1717"/>
      <c r="G21" s="1717"/>
      <c r="H21" s="396" t="s">
        <v>241</v>
      </c>
      <c r="I21" s="1067"/>
      <c r="J21" s="1068">
        <v>1.2</v>
      </c>
      <c r="K21" s="1428">
        <f>J21*K20</f>
        <v>2988000</v>
      </c>
      <c r="L21" s="229" t="s">
        <v>241</v>
      </c>
    </row>
    <row r="22" spans="1:13" ht="20.85" customHeight="1" thickTop="1" x14ac:dyDescent="0.2">
      <c r="A22" s="1060" t="s">
        <v>554</v>
      </c>
      <c r="B22" s="1550" t="s">
        <v>1856</v>
      </c>
      <c r="C22" s="1550"/>
      <c r="D22" s="1550"/>
      <c r="E22" s="1550"/>
      <c r="F22" s="1550"/>
      <c r="G22" s="1550"/>
      <c r="H22" s="396" t="s">
        <v>241</v>
      </c>
      <c r="I22" s="1067"/>
      <c r="J22" s="1069"/>
      <c r="K22" s="1059">
        <v>758000</v>
      </c>
      <c r="L22" s="396" t="s">
        <v>241</v>
      </c>
    </row>
    <row r="23" spans="1:13" ht="20.85" customHeight="1" thickBot="1" x14ac:dyDescent="0.25">
      <c r="A23" s="1060" t="s">
        <v>559</v>
      </c>
      <c r="B23" s="1632" t="s">
        <v>287</v>
      </c>
      <c r="C23" s="1632"/>
      <c r="D23" s="1632"/>
      <c r="E23" s="1632"/>
      <c r="F23" s="1632"/>
      <c r="G23" s="1632"/>
      <c r="H23" s="396" t="s">
        <v>241</v>
      </c>
      <c r="I23" s="1067"/>
      <c r="J23" s="1069"/>
      <c r="K23" s="1428">
        <f>SUM(K76,K83,K89,K95)</f>
        <v>1732000</v>
      </c>
      <c r="L23" s="229" t="s">
        <v>241</v>
      </c>
    </row>
    <row r="24" spans="1:13" ht="8.85" customHeight="1" thickTop="1" x14ac:dyDescent="0.2">
      <c r="A24" s="182"/>
      <c r="B24" s="1042"/>
      <c r="C24" s="938"/>
      <c r="D24" s="938"/>
      <c r="E24" s="938"/>
      <c r="F24" s="938"/>
      <c r="G24" s="938"/>
      <c r="H24" s="396"/>
      <c r="I24" s="888"/>
      <c r="J24" s="1066"/>
      <c r="K24" s="888"/>
      <c r="L24" s="396"/>
    </row>
    <row r="25" spans="1:13" ht="20.85" customHeight="1" thickBot="1" x14ac:dyDescent="0.25">
      <c r="A25" s="182" t="s">
        <v>200</v>
      </c>
      <c r="B25" s="1724" t="s">
        <v>1248</v>
      </c>
      <c r="C25" s="1724"/>
      <c r="D25" s="1724"/>
      <c r="E25" s="1724"/>
      <c r="F25" s="1724"/>
      <c r="G25" s="1724"/>
      <c r="H25" s="396"/>
      <c r="I25" s="1067"/>
      <c r="J25" s="1067"/>
      <c r="K25" s="1428">
        <f>K27</f>
        <v>7385300</v>
      </c>
      <c r="L25" s="229"/>
    </row>
    <row r="26" spans="1:13" ht="20.85" customHeight="1" thickTop="1" thickBot="1" x14ac:dyDescent="0.25">
      <c r="A26" s="900" t="s">
        <v>1857</v>
      </c>
      <c r="B26" s="1717" t="s">
        <v>1246</v>
      </c>
      <c r="C26" s="1717"/>
      <c r="D26" s="1717"/>
      <c r="E26" s="1717"/>
      <c r="F26" s="1717"/>
      <c r="G26" s="1717"/>
      <c r="H26" s="396" t="s">
        <v>241</v>
      </c>
      <c r="I26" s="1067"/>
      <c r="J26" s="1067"/>
      <c r="K26" s="1428">
        <f>SUM(K30,K29,K28)</f>
        <v>3887000</v>
      </c>
      <c r="L26" s="229" t="s">
        <v>241</v>
      </c>
      <c r="M26" s="170"/>
    </row>
    <row r="27" spans="1:13" ht="20.85" customHeight="1" thickTop="1" thickBot="1" x14ac:dyDescent="0.25">
      <c r="A27" s="900" t="s">
        <v>1858</v>
      </c>
      <c r="B27" s="1717" t="s">
        <v>1247</v>
      </c>
      <c r="C27" s="1717"/>
      <c r="D27" s="1717"/>
      <c r="E27" s="1717"/>
      <c r="F27" s="1717"/>
      <c r="G27" s="1717"/>
      <c r="H27" s="396" t="s">
        <v>241</v>
      </c>
      <c r="I27" s="1067"/>
      <c r="J27" s="1068">
        <v>1.9</v>
      </c>
      <c r="K27" s="1428">
        <f>J27*K26</f>
        <v>7385300</v>
      </c>
      <c r="L27" s="229" t="s">
        <v>241</v>
      </c>
      <c r="M27" s="170"/>
    </row>
    <row r="28" spans="1:13" ht="20.85" customHeight="1" thickTop="1" x14ac:dyDescent="0.2">
      <c r="A28" s="1060" t="s">
        <v>610</v>
      </c>
      <c r="B28" s="1550" t="s">
        <v>336</v>
      </c>
      <c r="C28" s="1550"/>
      <c r="D28" s="1550"/>
      <c r="E28" s="1550"/>
      <c r="F28" s="1550"/>
      <c r="G28" s="1550"/>
      <c r="H28" s="396" t="s">
        <v>241</v>
      </c>
      <c r="I28" s="1067"/>
      <c r="J28" s="1069"/>
      <c r="K28" s="1059">
        <v>261000</v>
      </c>
      <c r="L28" s="396" t="s">
        <v>241</v>
      </c>
    </row>
    <row r="29" spans="1:13" ht="20.85" customHeight="1" x14ac:dyDescent="0.2">
      <c r="A29" s="900" t="s">
        <v>616</v>
      </c>
      <c r="B29" s="1550" t="s">
        <v>335</v>
      </c>
      <c r="C29" s="1550"/>
      <c r="D29" s="1550"/>
      <c r="E29" s="1550"/>
      <c r="F29" s="1550"/>
      <c r="G29" s="1550"/>
      <c r="H29" s="396" t="s">
        <v>241</v>
      </c>
      <c r="I29" s="1067"/>
      <c r="J29" s="1069"/>
      <c r="K29" s="1059">
        <v>994000</v>
      </c>
      <c r="L29" s="396" t="s">
        <v>241</v>
      </c>
    </row>
    <row r="30" spans="1:13" ht="20.85" customHeight="1" thickBot="1" x14ac:dyDescent="0.25">
      <c r="A30" s="900" t="s">
        <v>622</v>
      </c>
      <c r="B30" s="1723" t="s">
        <v>286</v>
      </c>
      <c r="C30" s="1723"/>
      <c r="D30" s="1723"/>
      <c r="E30" s="1723"/>
      <c r="F30" s="1723"/>
      <c r="G30" s="1723"/>
      <c r="H30" s="396" t="s">
        <v>241</v>
      </c>
      <c r="I30" s="1067"/>
      <c r="J30" s="1069"/>
      <c r="K30" s="1428">
        <f>SUM(K77,K84,K90,K96)</f>
        <v>2632000</v>
      </c>
      <c r="L30" s="229" t="s">
        <v>241</v>
      </c>
    </row>
    <row r="31" spans="1:13" ht="8.85" customHeight="1" thickTop="1" x14ac:dyDescent="0.2">
      <c r="A31" s="182"/>
      <c r="B31" s="1042"/>
      <c r="C31" s="938"/>
      <c r="D31" s="938"/>
      <c r="E31" s="938"/>
      <c r="F31" s="938"/>
      <c r="G31" s="938"/>
      <c r="H31" s="396"/>
      <c r="I31" s="888"/>
      <c r="J31" s="1066"/>
      <c r="K31" s="888"/>
      <c r="L31" s="396"/>
    </row>
    <row r="32" spans="1:13" ht="20.85" customHeight="1" thickBot="1" x14ac:dyDescent="0.25">
      <c r="A32" s="182" t="s">
        <v>201</v>
      </c>
      <c r="B32" s="1716" t="s">
        <v>1899</v>
      </c>
      <c r="C32" s="1716"/>
      <c r="D32" s="1716"/>
      <c r="E32" s="1716"/>
      <c r="F32" s="1716"/>
      <c r="G32" s="1716"/>
      <c r="H32" s="396"/>
      <c r="I32" s="1067"/>
      <c r="J32" s="1067"/>
      <c r="K32" s="1058">
        <f>K33+K35</f>
        <v>4875452.4000000004</v>
      </c>
      <c r="L32" s="1422"/>
    </row>
    <row r="33" spans="1:14" ht="20.85" customHeight="1" thickTop="1" x14ac:dyDescent="0.2">
      <c r="A33" s="897" t="s">
        <v>643</v>
      </c>
      <c r="B33" s="1717" t="s">
        <v>1863</v>
      </c>
      <c r="C33" s="1717"/>
      <c r="D33" s="1717"/>
      <c r="E33" s="1717"/>
      <c r="F33" s="1717"/>
      <c r="G33" s="1717"/>
      <c r="H33" s="396" t="s">
        <v>241</v>
      </c>
      <c r="I33" s="1067"/>
      <c r="J33" s="1067"/>
      <c r="K33" s="1427"/>
      <c r="L33" s="229" t="s">
        <v>241</v>
      </c>
      <c r="N33" s="294" t="str">
        <f>IF(OR(N98="Criteria NOT met",OR(ISBLANK(K99),ISBLANK(K100),ISBLANK(K101),ISBLANK(K102),ISBLANK(K103))),IF(ISBLANK(K33),"OK","ERROR"),"OK")</f>
        <v>OK</v>
      </c>
    </row>
    <row r="34" spans="1:14" ht="20.85" customHeight="1" thickBot="1" x14ac:dyDescent="0.25">
      <c r="A34" s="900" t="s">
        <v>1865</v>
      </c>
      <c r="B34" s="1717" t="s">
        <v>1867</v>
      </c>
      <c r="C34" s="1717"/>
      <c r="D34" s="1717"/>
      <c r="E34" s="1717"/>
      <c r="F34" s="1717"/>
      <c r="G34" s="1717"/>
      <c r="H34" s="396" t="s">
        <v>241</v>
      </c>
      <c r="I34" s="1067"/>
      <c r="J34" s="1067"/>
      <c r="K34" s="1428">
        <f>SUM(K37,K55,K56,K59)</f>
        <v>3750348</v>
      </c>
      <c r="L34" s="229" t="s">
        <v>241</v>
      </c>
      <c r="N34" s="294" t="str">
        <f>IF(AND(K33&gt;0,K63&gt;0),"ERROR","OK")</f>
        <v>OK</v>
      </c>
    </row>
    <row r="35" spans="1:14" ht="20.85" customHeight="1" thickTop="1" thickBot="1" x14ac:dyDescent="0.25">
      <c r="A35" s="900" t="s">
        <v>1866</v>
      </c>
      <c r="B35" s="1717" t="s">
        <v>1868</v>
      </c>
      <c r="C35" s="1717"/>
      <c r="D35" s="1717"/>
      <c r="E35" s="1717"/>
      <c r="F35" s="1717"/>
      <c r="G35" s="1717"/>
      <c r="H35" s="396" t="s">
        <v>241</v>
      </c>
      <c r="I35" s="1067"/>
      <c r="J35" s="1068">
        <v>1.3</v>
      </c>
      <c r="K35" s="1428">
        <f>J35*K34</f>
        <v>4875452.4000000004</v>
      </c>
      <c r="L35" s="229" t="s">
        <v>241</v>
      </c>
    </row>
    <row r="36" spans="1:14" ht="20.85" customHeight="1" thickTop="1" thickBot="1" x14ac:dyDescent="0.25">
      <c r="A36" s="1060" t="s">
        <v>1871</v>
      </c>
      <c r="B36" s="1713" t="s">
        <v>1257</v>
      </c>
      <c r="C36" s="1713"/>
      <c r="D36" s="1713"/>
      <c r="E36" s="1713"/>
      <c r="F36" s="1713"/>
      <c r="G36" s="1713"/>
      <c r="H36" s="396"/>
      <c r="I36" s="1067"/>
      <c r="J36" s="1070"/>
      <c r="K36" s="1058">
        <f>K37+K55</f>
        <v>1284348</v>
      </c>
      <c r="L36" s="62"/>
    </row>
    <row r="37" spans="1:14" ht="22.5" customHeight="1" thickTop="1" thickBot="1" x14ac:dyDescent="0.25">
      <c r="A37" s="897" t="s">
        <v>1875</v>
      </c>
      <c r="B37" s="1716" t="s">
        <v>325</v>
      </c>
      <c r="C37" s="1716"/>
      <c r="D37" s="1716"/>
      <c r="E37" s="1716"/>
      <c r="F37" s="1716"/>
      <c r="G37" s="1716"/>
      <c r="H37" s="396" t="s">
        <v>241</v>
      </c>
      <c r="I37" s="1058">
        <f>I39+I41+I42+I43+I44+I45+I46+I48+I49+I50+I52+I53+I54</f>
        <v>4816000</v>
      </c>
      <c r="J37" s="1073"/>
      <c r="K37" s="1058">
        <f>K41+K42+K43+K44+K45+K46+K48+K49+K50+K52+K53+K54</f>
        <v>284348</v>
      </c>
      <c r="L37" s="396" t="s">
        <v>241</v>
      </c>
    </row>
    <row r="38" spans="1:14" ht="20.85" customHeight="1" thickTop="1" thickBot="1" x14ac:dyDescent="0.25">
      <c r="A38" s="1063" t="s">
        <v>1876</v>
      </c>
      <c r="B38" s="1720" t="s">
        <v>324</v>
      </c>
      <c r="C38" s="1720"/>
      <c r="D38" s="1720"/>
      <c r="E38" s="1720"/>
      <c r="F38" s="1720"/>
      <c r="G38" s="1720"/>
      <c r="H38" s="396"/>
      <c r="I38" s="1058">
        <f>I39+I40+I44+I45+I46</f>
        <v>2451000</v>
      </c>
      <c r="J38" s="1073"/>
      <c r="K38" s="1058">
        <f>K39+K40+K44+K45+K46</f>
        <v>158532.5</v>
      </c>
      <c r="L38" s="396"/>
    </row>
    <row r="39" spans="1:14" ht="20.85" customHeight="1" thickTop="1" x14ac:dyDescent="0.2">
      <c r="A39" s="1063" t="s">
        <v>1882</v>
      </c>
      <c r="B39" s="1719" t="s">
        <v>323</v>
      </c>
      <c r="C39" s="1719"/>
      <c r="D39" s="1719"/>
      <c r="E39" s="1719"/>
      <c r="F39" s="1719"/>
      <c r="G39" s="1719"/>
      <c r="H39" s="396" t="s">
        <v>241</v>
      </c>
      <c r="I39" s="1059">
        <v>126000</v>
      </c>
      <c r="J39" s="1074" t="s">
        <v>322</v>
      </c>
      <c r="K39" s="1071"/>
      <c r="L39" s="396" t="s">
        <v>241</v>
      </c>
    </row>
    <row r="40" spans="1:14" ht="20.85" customHeight="1" thickBot="1" x14ac:dyDescent="0.25">
      <c r="A40" s="1063" t="s">
        <v>1883</v>
      </c>
      <c r="B40" s="1719" t="s">
        <v>321</v>
      </c>
      <c r="C40" s="1719"/>
      <c r="D40" s="1719"/>
      <c r="E40" s="1719"/>
      <c r="F40" s="1719"/>
      <c r="G40" s="1719"/>
      <c r="H40" s="396"/>
      <c r="I40" s="1058">
        <f>SUM(I41+I42+I43)</f>
        <v>892000</v>
      </c>
      <c r="J40" s="1071"/>
      <c r="K40" s="1058">
        <f>SUM(K41+K42+K43)</f>
        <v>4172.5</v>
      </c>
      <c r="L40" s="396"/>
      <c r="M40" s="170"/>
    </row>
    <row r="41" spans="1:14" ht="20.85" customHeight="1" thickTop="1" thickBot="1" x14ac:dyDescent="0.25">
      <c r="A41" s="1063" t="s">
        <v>1884</v>
      </c>
      <c r="B41" s="1719" t="s">
        <v>1682</v>
      </c>
      <c r="C41" s="1719"/>
      <c r="D41" s="1719"/>
      <c r="E41" s="1719"/>
      <c r="F41" s="1719"/>
      <c r="G41" s="1719"/>
      <c r="H41" s="396" t="s">
        <v>241</v>
      </c>
      <c r="I41" s="1059">
        <v>693000</v>
      </c>
      <c r="J41" s="1075">
        <v>2.5000000000000001E-3</v>
      </c>
      <c r="K41" s="1058">
        <f t="shared" ref="K41:K46" si="0">I41*J41</f>
        <v>1732.5</v>
      </c>
      <c r="L41" s="396" t="s">
        <v>241</v>
      </c>
      <c r="M41" s="170"/>
    </row>
    <row r="42" spans="1:14" ht="20.85" customHeight="1" thickTop="1" thickBot="1" x14ac:dyDescent="0.25">
      <c r="A42" s="1063" t="s">
        <v>1885</v>
      </c>
      <c r="B42" s="1719" t="s">
        <v>1683</v>
      </c>
      <c r="C42" s="1719"/>
      <c r="D42" s="1719"/>
      <c r="E42" s="1719"/>
      <c r="F42" s="1719"/>
      <c r="G42" s="1719"/>
      <c r="H42" s="396" t="s">
        <v>241</v>
      </c>
      <c r="I42" s="1059">
        <v>124000</v>
      </c>
      <c r="J42" s="1069">
        <v>0.01</v>
      </c>
      <c r="K42" s="1058">
        <f t="shared" si="0"/>
        <v>1240</v>
      </c>
      <c r="L42" s="396" t="s">
        <v>241</v>
      </c>
    </row>
    <row r="43" spans="1:14" ht="20.85" customHeight="1" thickTop="1" thickBot="1" x14ac:dyDescent="0.25">
      <c r="A43" s="1063" t="s">
        <v>1886</v>
      </c>
      <c r="B43" s="1719" t="s">
        <v>1684</v>
      </c>
      <c r="C43" s="1719"/>
      <c r="D43" s="1719"/>
      <c r="E43" s="1719"/>
      <c r="F43" s="1719"/>
      <c r="G43" s="1719"/>
      <c r="H43" s="396" t="s">
        <v>241</v>
      </c>
      <c r="I43" s="1059">
        <v>75000</v>
      </c>
      <c r="J43" s="1069">
        <v>1.6E-2</v>
      </c>
      <c r="K43" s="1058">
        <f t="shared" si="0"/>
        <v>1200</v>
      </c>
      <c r="L43" s="396" t="s">
        <v>241</v>
      </c>
    </row>
    <row r="44" spans="1:14" ht="20.85" customHeight="1" thickTop="1" thickBot="1" x14ac:dyDescent="0.25">
      <c r="A44" s="1063" t="s">
        <v>1887</v>
      </c>
      <c r="B44" s="1719" t="s">
        <v>320</v>
      </c>
      <c r="C44" s="1719"/>
      <c r="D44" s="1719"/>
      <c r="E44" s="1719"/>
      <c r="F44" s="1719"/>
      <c r="G44" s="1719"/>
      <c r="H44" s="396" t="s">
        <v>241</v>
      </c>
      <c r="I44" s="1059">
        <v>94000</v>
      </c>
      <c r="J44" s="1069">
        <v>0.08</v>
      </c>
      <c r="K44" s="1058">
        <f t="shared" si="0"/>
        <v>7520</v>
      </c>
      <c r="L44" s="396" t="s">
        <v>241</v>
      </c>
    </row>
    <row r="45" spans="1:14" ht="20.85" customHeight="1" thickTop="1" thickBot="1" x14ac:dyDescent="0.25">
      <c r="A45" s="1063" t="s">
        <v>1888</v>
      </c>
      <c r="B45" s="1719" t="s">
        <v>319</v>
      </c>
      <c r="C45" s="1719"/>
      <c r="D45" s="1719"/>
      <c r="E45" s="1719"/>
      <c r="F45" s="1719"/>
      <c r="G45" s="1719"/>
      <c r="H45" s="396" t="s">
        <v>241</v>
      </c>
      <c r="I45" s="1059">
        <v>993000</v>
      </c>
      <c r="J45" s="1069">
        <v>0.12</v>
      </c>
      <c r="K45" s="1058">
        <f t="shared" si="0"/>
        <v>119160</v>
      </c>
      <c r="L45" s="396" t="s">
        <v>241</v>
      </c>
    </row>
    <row r="46" spans="1:14" ht="20.85" customHeight="1" thickTop="1" thickBot="1" x14ac:dyDescent="0.25">
      <c r="A46" s="1063" t="s">
        <v>1889</v>
      </c>
      <c r="B46" s="1719" t="s">
        <v>311</v>
      </c>
      <c r="C46" s="1719"/>
      <c r="D46" s="1719"/>
      <c r="E46" s="1719"/>
      <c r="F46" s="1719"/>
      <c r="G46" s="1719"/>
      <c r="H46" s="396" t="s">
        <v>241</v>
      </c>
      <c r="I46" s="1059">
        <v>346000</v>
      </c>
      <c r="J46" s="1069">
        <v>0.08</v>
      </c>
      <c r="K46" s="1058">
        <f t="shared" si="0"/>
        <v>27680</v>
      </c>
      <c r="L46" s="396" t="s">
        <v>241</v>
      </c>
      <c r="M46" s="267"/>
    </row>
    <row r="47" spans="1:14" ht="21.6" customHeight="1" thickTop="1" x14ac:dyDescent="0.2">
      <c r="A47" s="1063" t="s">
        <v>1877</v>
      </c>
      <c r="B47" s="1720" t="s">
        <v>2200</v>
      </c>
      <c r="C47" s="1720"/>
      <c r="D47" s="1720"/>
      <c r="E47" s="1720"/>
      <c r="F47" s="1720"/>
      <c r="G47" s="1720"/>
      <c r="H47" s="396"/>
      <c r="I47" s="888"/>
      <c r="J47" s="1073"/>
      <c r="K47" s="1059"/>
      <c r="L47" s="396"/>
      <c r="M47" s="267"/>
    </row>
    <row r="48" spans="1:14" ht="20.85" customHeight="1" thickBot="1" x14ac:dyDescent="0.25">
      <c r="A48" s="1063" t="s">
        <v>1878</v>
      </c>
      <c r="B48" s="1719" t="s">
        <v>317</v>
      </c>
      <c r="C48" s="1719"/>
      <c r="D48" s="1719"/>
      <c r="E48" s="1719"/>
      <c r="F48" s="1719"/>
      <c r="G48" s="1719"/>
      <c r="H48" s="396" t="s">
        <v>241</v>
      </c>
      <c r="I48" s="1059">
        <v>939000</v>
      </c>
      <c r="J48" s="1075">
        <v>2.5000000000000001E-3</v>
      </c>
      <c r="K48" s="1058">
        <f>I48*J48</f>
        <v>2347.5</v>
      </c>
      <c r="L48" s="396" t="s">
        <v>241</v>
      </c>
    </row>
    <row r="49" spans="1:14" ht="20.85" customHeight="1" thickTop="1" thickBot="1" x14ac:dyDescent="0.25">
      <c r="A49" s="1063" t="s">
        <v>1879</v>
      </c>
      <c r="B49" s="1719" t="s">
        <v>316</v>
      </c>
      <c r="C49" s="1719"/>
      <c r="D49" s="1719"/>
      <c r="E49" s="1719"/>
      <c r="F49" s="1719"/>
      <c r="G49" s="1719"/>
      <c r="H49" s="396" t="s">
        <v>241</v>
      </c>
      <c r="I49" s="1059">
        <v>46000</v>
      </c>
      <c r="J49" s="1069">
        <v>0.01</v>
      </c>
      <c r="K49" s="1058">
        <f>I49*J49</f>
        <v>460</v>
      </c>
      <c r="L49" s="396" t="s">
        <v>241</v>
      </c>
      <c r="M49" s="170"/>
    </row>
    <row r="50" spans="1:14" ht="20.85" customHeight="1" thickTop="1" thickBot="1" x14ac:dyDescent="0.25">
      <c r="A50" s="1063" t="s">
        <v>1880</v>
      </c>
      <c r="B50" s="1719" t="s">
        <v>315</v>
      </c>
      <c r="C50" s="1719"/>
      <c r="D50" s="1719"/>
      <c r="E50" s="1719"/>
      <c r="F50" s="1719"/>
      <c r="G50" s="1719"/>
      <c r="H50" s="396" t="s">
        <v>241</v>
      </c>
      <c r="I50" s="1059">
        <v>63000</v>
      </c>
      <c r="J50" s="1069">
        <v>1.6E-2</v>
      </c>
      <c r="K50" s="1058">
        <f>I50*J50</f>
        <v>1008</v>
      </c>
      <c r="L50" s="396" t="s">
        <v>241</v>
      </c>
      <c r="M50" s="170"/>
    </row>
    <row r="51" spans="1:14" ht="20.85" customHeight="1" thickTop="1" x14ac:dyDescent="0.2">
      <c r="A51" s="1063" t="s">
        <v>1963</v>
      </c>
      <c r="B51" s="1720" t="s">
        <v>314</v>
      </c>
      <c r="C51" s="1720"/>
      <c r="D51" s="1720"/>
      <c r="E51" s="1720"/>
      <c r="F51" s="1720"/>
      <c r="G51" s="1720"/>
      <c r="H51" s="396"/>
      <c r="I51" s="888"/>
      <c r="J51" s="1073"/>
      <c r="K51" s="1059"/>
      <c r="L51" s="396"/>
    </row>
    <row r="52" spans="1:14" ht="20.85" customHeight="1" thickBot="1" x14ac:dyDescent="0.25">
      <c r="A52" s="1063" t="s">
        <v>1964</v>
      </c>
      <c r="B52" s="1719" t="s">
        <v>313</v>
      </c>
      <c r="C52" s="1719"/>
      <c r="D52" s="1719"/>
      <c r="E52" s="1719"/>
      <c r="F52" s="1719"/>
      <c r="G52" s="1719"/>
      <c r="H52" s="396" t="s">
        <v>241</v>
      </c>
      <c r="I52" s="1059">
        <v>649000</v>
      </c>
      <c r="J52" s="1069">
        <v>0.08</v>
      </c>
      <c r="K52" s="1058">
        <f>I52*J52</f>
        <v>51920</v>
      </c>
      <c r="L52" s="396" t="s">
        <v>241</v>
      </c>
    </row>
    <row r="53" spans="1:14" ht="20.85" customHeight="1" thickTop="1" thickBot="1" x14ac:dyDescent="0.25">
      <c r="A53" s="1063" t="s">
        <v>1965</v>
      </c>
      <c r="B53" s="1719" t="s">
        <v>312</v>
      </c>
      <c r="C53" s="1719"/>
      <c r="D53" s="1719"/>
      <c r="E53" s="1719"/>
      <c r="F53" s="1719"/>
      <c r="G53" s="1719"/>
      <c r="H53" s="396" t="s">
        <v>241</v>
      </c>
      <c r="I53" s="1059">
        <v>416000</v>
      </c>
      <c r="J53" s="1069">
        <v>0.12</v>
      </c>
      <c r="K53" s="1058">
        <f>I53*J53</f>
        <v>49920</v>
      </c>
      <c r="L53" s="396" t="s">
        <v>241</v>
      </c>
    </row>
    <row r="54" spans="1:14" ht="20.85" customHeight="1" thickTop="1" thickBot="1" x14ac:dyDescent="0.25">
      <c r="A54" s="1063" t="s">
        <v>1966</v>
      </c>
      <c r="B54" s="1719" t="s">
        <v>311</v>
      </c>
      <c r="C54" s="1719"/>
      <c r="D54" s="1719"/>
      <c r="E54" s="1719"/>
      <c r="F54" s="1719"/>
      <c r="G54" s="1719"/>
      <c r="H54" s="396" t="s">
        <v>241</v>
      </c>
      <c r="I54" s="1059">
        <v>252000</v>
      </c>
      <c r="J54" s="1069">
        <v>0.08</v>
      </c>
      <c r="K54" s="1058">
        <f>I54*J54</f>
        <v>20160</v>
      </c>
      <c r="L54" s="396" t="s">
        <v>241</v>
      </c>
    </row>
    <row r="55" spans="1:14" ht="21.6" customHeight="1" thickTop="1" x14ac:dyDescent="0.2">
      <c r="A55" s="897" t="s">
        <v>1881</v>
      </c>
      <c r="B55" s="1716" t="s">
        <v>1870</v>
      </c>
      <c r="C55" s="1716"/>
      <c r="D55" s="1716"/>
      <c r="E55" s="1716"/>
      <c r="F55" s="1716"/>
      <c r="G55" s="1716"/>
      <c r="H55" s="396" t="s">
        <v>241</v>
      </c>
      <c r="I55" s="1071"/>
      <c r="J55" s="1076"/>
      <c r="K55" s="1059">
        <v>1000000</v>
      </c>
      <c r="L55" s="396" t="s">
        <v>241</v>
      </c>
    </row>
    <row r="56" spans="1:14" ht="30" customHeight="1" thickBot="1" x14ac:dyDescent="0.25">
      <c r="A56" s="900" t="s">
        <v>1872</v>
      </c>
      <c r="B56" s="1713" t="s">
        <v>1256</v>
      </c>
      <c r="C56" s="1713"/>
      <c r="D56" s="1713"/>
      <c r="E56" s="1713"/>
      <c r="F56" s="1713"/>
      <c r="G56" s="1713"/>
      <c r="H56" s="396"/>
      <c r="I56" s="1071"/>
      <c r="J56" s="1069"/>
      <c r="K56" s="1058">
        <f>K57+K58</f>
        <v>611000</v>
      </c>
      <c r="L56" s="396"/>
    </row>
    <row r="57" spans="1:14" ht="20.85" customHeight="1" thickTop="1" x14ac:dyDescent="0.2">
      <c r="A57" s="1063" t="s">
        <v>1890</v>
      </c>
      <c r="B57" s="1725" t="s">
        <v>304</v>
      </c>
      <c r="C57" s="1725"/>
      <c r="D57" s="1725"/>
      <c r="E57" s="1725"/>
      <c r="F57" s="1725"/>
      <c r="G57" s="1725"/>
      <c r="H57" s="396" t="s">
        <v>241</v>
      </c>
      <c r="I57" s="1071"/>
      <c r="J57" s="1069"/>
      <c r="K57" s="1059">
        <v>284000</v>
      </c>
      <c r="L57" s="396" t="s">
        <v>241</v>
      </c>
      <c r="N57" s="294" t="str">
        <f>IF(AND(K57&gt;0,K58&gt;0),"ERROR","OK")</f>
        <v>ERROR</v>
      </c>
    </row>
    <row r="58" spans="1:14" ht="20.85" customHeight="1" x14ac:dyDescent="0.2">
      <c r="A58" s="1063" t="s">
        <v>1891</v>
      </c>
      <c r="B58" s="1725" t="s">
        <v>303</v>
      </c>
      <c r="C58" s="1725"/>
      <c r="D58" s="1725"/>
      <c r="E58" s="1725"/>
      <c r="F58" s="1725"/>
      <c r="G58" s="1725"/>
      <c r="H58" s="396" t="s">
        <v>241</v>
      </c>
      <c r="I58" s="1071"/>
      <c r="J58" s="1069"/>
      <c r="K58" s="1059">
        <v>327000</v>
      </c>
      <c r="L58" s="396" t="s">
        <v>241</v>
      </c>
      <c r="N58" s="294" t="str">
        <f>IF(AND(K57&gt;0,K58&gt;0),"ERROR","OK")</f>
        <v>ERROR</v>
      </c>
    </row>
    <row r="59" spans="1:14" ht="20.85" customHeight="1" thickBot="1" x14ac:dyDescent="0.25">
      <c r="A59" s="900" t="s">
        <v>1892</v>
      </c>
      <c r="B59" s="1715" t="s">
        <v>1258</v>
      </c>
      <c r="C59" s="1715"/>
      <c r="D59" s="1715"/>
      <c r="E59" s="1715"/>
      <c r="F59" s="1715"/>
      <c r="G59" s="1715"/>
      <c r="H59" s="396" t="s">
        <v>241</v>
      </c>
      <c r="I59" s="1071"/>
      <c r="J59" s="1069"/>
      <c r="K59" s="1058">
        <f>SUM(K73,K80,K86,K92)</f>
        <v>1855000</v>
      </c>
      <c r="L59" s="396" t="s">
        <v>241</v>
      </c>
    </row>
    <row r="60" spans="1:14" ht="8.85" customHeight="1" thickTop="1" x14ac:dyDescent="0.2">
      <c r="A60" s="182"/>
      <c r="B60" s="1042"/>
      <c r="C60" s="938"/>
      <c r="D60" s="938"/>
      <c r="E60" s="938"/>
      <c r="F60" s="938"/>
      <c r="G60" s="938"/>
      <c r="H60" s="396"/>
      <c r="I60" s="888"/>
      <c r="J60" s="1066"/>
      <c r="K60" s="888"/>
      <c r="L60" s="396"/>
    </row>
    <row r="61" spans="1:14" ht="21.6" customHeight="1" thickBot="1" x14ac:dyDescent="0.25">
      <c r="A61" s="1043" t="s">
        <v>1677</v>
      </c>
      <c r="B61" s="1716" t="s">
        <v>1900</v>
      </c>
      <c r="C61" s="1716"/>
      <c r="D61" s="1716"/>
      <c r="E61" s="1716"/>
      <c r="F61" s="1716"/>
      <c r="G61" s="1716"/>
      <c r="H61" s="396"/>
      <c r="I61" s="888"/>
      <c r="J61" s="1066"/>
      <c r="K61" s="1058">
        <f>K62+K64</f>
        <v>6601420</v>
      </c>
      <c r="L61" s="396"/>
    </row>
    <row r="62" spans="1:14" ht="20.85" customHeight="1" thickTop="1" x14ac:dyDescent="0.2">
      <c r="A62" s="1426" t="s">
        <v>1873</v>
      </c>
      <c r="B62" s="1717" t="s">
        <v>1864</v>
      </c>
      <c r="C62" s="1717"/>
      <c r="D62" s="1717"/>
      <c r="E62" s="1717"/>
      <c r="F62" s="1717"/>
      <c r="G62" s="1717"/>
      <c r="H62" s="396" t="s">
        <v>241</v>
      </c>
      <c r="I62" s="1071"/>
      <c r="J62" s="1072"/>
      <c r="K62" s="1427"/>
      <c r="L62" s="229" t="s">
        <v>241</v>
      </c>
      <c r="N62" s="294" t="str">
        <f>IF(OR(N98="Criteria NOT met",OR(ISBLANK(K99),ISBLANK(K100),ISBLANK(K101),ISBLANK(K102),ISBLANK(K103))),IF(ISBLANK(K62),"OK","ERROR"),"OK")</f>
        <v>OK</v>
      </c>
    </row>
    <row r="63" spans="1:14" ht="20.85" customHeight="1" thickBot="1" x14ac:dyDescent="0.25">
      <c r="A63" s="1413" t="s">
        <v>1893</v>
      </c>
      <c r="B63" s="1717" t="s">
        <v>1867</v>
      </c>
      <c r="C63" s="1717"/>
      <c r="D63" s="1717"/>
      <c r="E63" s="1717"/>
      <c r="F63" s="1717"/>
      <c r="G63" s="1717"/>
      <c r="H63" s="396" t="s">
        <v>241</v>
      </c>
      <c r="I63" s="1071"/>
      <c r="J63" s="1066"/>
      <c r="K63" s="1428">
        <f>SUM(K65,K67,K69)</f>
        <v>1886120</v>
      </c>
      <c r="L63" s="229" t="s">
        <v>241</v>
      </c>
      <c r="N63" s="294" t="str">
        <f>IF(AND(K62&gt;0,K63&gt;0),"ERROR","OK")</f>
        <v>OK</v>
      </c>
    </row>
    <row r="64" spans="1:14" ht="20.85" customHeight="1" thickTop="1" thickBot="1" x14ac:dyDescent="0.25">
      <c r="A64" s="1413" t="s">
        <v>1898</v>
      </c>
      <c r="B64" s="1717" t="s">
        <v>1868</v>
      </c>
      <c r="C64" s="1717"/>
      <c r="D64" s="1717"/>
      <c r="E64" s="1717"/>
      <c r="F64" s="1717"/>
      <c r="G64" s="1717"/>
      <c r="H64" s="396" t="s">
        <v>241</v>
      </c>
      <c r="I64" s="1071"/>
      <c r="J64" s="1077">
        <v>3.5</v>
      </c>
      <c r="K64" s="1428">
        <f>J64*K63</f>
        <v>6601420</v>
      </c>
      <c r="L64" s="229" t="s">
        <v>241</v>
      </c>
    </row>
    <row r="65" spans="1:13" ht="20.85" customHeight="1" thickTop="1" thickBot="1" x14ac:dyDescent="0.25">
      <c r="A65" s="1081" t="s">
        <v>1874</v>
      </c>
      <c r="B65" s="1716" t="s">
        <v>1252</v>
      </c>
      <c r="C65" s="1716"/>
      <c r="D65" s="1716"/>
      <c r="E65" s="1716"/>
      <c r="F65" s="1716"/>
      <c r="G65" s="1716"/>
      <c r="H65" s="396" t="s">
        <v>241</v>
      </c>
      <c r="I65" s="264">
        <f>I66</f>
        <v>928000</v>
      </c>
      <c r="J65" s="1082"/>
      <c r="K65" s="264">
        <f>K66</f>
        <v>74240</v>
      </c>
      <c r="L65" s="396"/>
    </row>
    <row r="66" spans="1:13" ht="20.85" customHeight="1" thickTop="1" thickBot="1" x14ac:dyDescent="0.25">
      <c r="A66" s="1063" t="s">
        <v>1894</v>
      </c>
      <c r="B66" s="1551" t="s">
        <v>1245</v>
      </c>
      <c r="C66" s="1551"/>
      <c r="D66" s="1551"/>
      <c r="E66" s="1551"/>
      <c r="F66" s="1551"/>
      <c r="G66" s="1551"/>
      <c r="H66" s="396" t="s">
        <v>241</v>
      </c>
      <c r="I66" s="1083">
        <v>928000</v>
      </c>
      <c r="J66" s="1084">
        <v>0.08</v>
      </c>
      <c r="K66" s="264">
        <f>I66*J66</f>
        <v>74240</v>
      </c>
      <c r="L66" s="396" t="s">
        <v>241</v>
      </c>
      <c r="M66" s="255"/>
    </row>
    <row r="67" spans="1:13" ht="20.85" customHeight="1" thickTop="1" thickBot="1" x14ac:dyDescent="0.25">
      <c r="A67" s="1062" t="s">
        <v>1895</v>
      </c>
      <c r="B67" s="1715" t="s">
        <v>1253</v>
      </c>
      <c r="C67" s="1715"/>
      <c r="D67" s="1715"/>
      <c r="E67" s="1715"/>
      <c r="F67" s="1715"/>
      <c r="G67" s="1715"/>
      <c r="H67" s="396" t="s">
        <v>241</v>
      </c>
      <c r="I67" s="264">
        <f>I68</f>
        <v>361000</v>
      </c>
      <c r="J67" s="1082"/>
      <c r="K67" s="264">
        <f>K68</f>
        <v>28880</v>
      </c>
      <c r="L67" s="396"/>
    </row>
    <row r="68" spans="1:13" ht="20.85" customHeight="1" thickTop="1" thickBot="1" x14ac:dyDescent="0.25">
      <c r="A68" s="1063" t="s">
        <v>1896</v>
      </c>
      <c r="B68" s="1551" t="s">
        <v>298</v>
      </c>
      <c r="C68" s="1551"/>
      <c r="D68" s="1551"/>
      <c r="E68" s="1551"/>
      <c r="F68" s="1551"/>
      <c r="G68" s="1551"/>
      <c r="H68" s="396" t="s">
        <v>241</v>
      </c>
      <c r="I68" s="1059">
        <v>361000</v>
      </c>
      <c r="J68" s="1078">
        <v>0.08</v>
      </c>
      <c r="K68" s="264">
        <f>I68*J68</f>
        <v>28880</v>
      </c>
      <c r="L68" s="396" t="s">
        <v>241</v>
      </c>
    </row>
    <row r="69" spans="1:13" ht="20.85" customHeight="1" thickTop="1" thickBot="1" x14ac:dyDescent="0.25">
      <c r="A69" s="1425" t="s">
        <v>1897</v>
      </c>
      <c r="B69" s="1718" t="s">
        <v>1255</v>
      </c>
      <c r="C69" s="1718"/>
      <c r="D69" s="1718"/>
      <c r="E69" s="1718"/>
      <c r="F69" s="1718"/>
      <c r="G69" s="1718"/>
      <c r="H69" s="396" t="s">
        <v>241</v>
      </c>
      <c r="I69" s="1071"/>
      <c r="J69" s="1079"/>
      <c r="K69" s="1424">
        <f>SUM(K74,K81,K87,K93)</f>
        <v>1783000</v>
      </c>
      <c r="L69" s="1423" t="s">
        <v>241</v>
      </c>
    </row>
    <row r="70" spans="1:13" ht="8.85" customHeight="1" thickTop="1" x14ac:dyDescent="0.2">
      <c r="A70" s="182"/>
      <c r="B70" s="1042"/>
      <c r="C70" s="938"/>
      <c r="D70" s="938"/>
      <c r="E70" s="938"/>
      <c r="F70" s="938"/>
      <c r="G70" s="938"/>
      <c r="H70" s="396"/>
      <c r="I70" s="888"/>
      <c r="J70" s="1066"/>
      <c r="K70" s="888"/>
      <c r="L70" s="396"/>
    </row>
    <row r="71" spans="1:13" ht="20.85" customHeight="1" x14ac:dyDescent="0.2">
      <c r="A71" s="900" t="s">
        <v>1483</v>
      </c>
      <c r="B71" s="1714" t="s">
        <v>1901</v>
      </c>
      <c r="C71" s="1714"/>
      <c r="D71" s="1714"/>
      <c r="E71" s="1714"/>
      <c r="F71" s="1714"/>
      <c r="G71" s="1714"/>
      <c r="H71" s="396"/>
      <c r="I71" s="1071"/>
      <c r="J71" s="1066"/>
      <c r="K71" s="1071"/>
      <c r="L71" s="396"/>
    </row>
    <row r="72" spans="1:13" ht="20.85" customHeight="1" x14ac:dyDescent="0.2">
      <c r="A72" s="900" t="s">
        <v>1308</v>
      </c>
      <c r="B72" s="1714" t="s">
        <v>1250</v>
      </c>
      <c r="C72" s="1714"/>
      <c r="D72" s="1714"/>
      <c r="E72" s="1714"/>
      <c r="F72" s="1714"/>
      <c r="G72" s="1714"/>
      <c r="H72" s="396"/>
      <c r="I72" s="1071"/>
      <c r="J72" s="1066"/>
      <c r="K72" s="1071"/>
      <c r="L72" s="229"/>
    </row>
    <row r="73" spans="1:13" ht="20.85" customHeight="1" x14ac:dyDescent="0.2">
      <c r="A73" s="1064" t="s">
        <v>209</v>
      </c>
      <c r="B73" s="1550" t="s">
        <v>290</v>
      </c>
      <c r="C73" s="1550"/>
      <c r="D73" s="1550"/>
      <c r="E73" s="1550"/>
      <c r="F73" s="1550"/>
      <c r="G73" s="1550"/>
      <c r="H73" s="396" t="s">
        <v>241</v>
      </c>
      <c r="I73" s="1071"/>
      <c r="J73" s="1071"/>
      <c r="K73" s="1059">
        <v>355000</v>
      </c>
      <c r="L73" s="396" t="s">
        <v>241</v>
      </c>
    </row>
    <row r="74" spans="1:13" ht="20.85" customHeight="1" x14ac:dyDescent="0.2">
      <c r="A74" s="1064" t="s">
        <v>211</v>
      </c>
      <c r="B74" s="1550" t="s">
        <v>289</v>
      </c>
      <c r="C74" s="1550"/>
      <c r="D74" s="1550"/>
      <c r="E74" s="1550"/>
      <c r="F74" s="1550"/>
      <c r="G74" s="1550"/>
      <c r="H74" s="396" t="s">
        <v>241</v>
      </c>
      <c r="I74" s="1071"/>
      <c r="J74" s="1071"/>
      <c r="K74" s="1059">
        <v>211000</v>
      </c>
      <c r="L74" s="396" t="s">
        <v>241</v>
      </c>
    </row>
    <row r="75" spans="1:13" ht="20.85" customHeight="1" x14ac:dyDescent="0.2">
      <c r="A75" s="1064" t="s">
        <v>1343</v>
      </c>
      <c r="B75" s="1550" t="s">
        <v>288</v>
      </c>
      <c r="C75" s="1550"/>
      <c r="D75" s="1550"/>
      <c r="E75" s="1550"/>
      <c r="F75" s="1550"/>
      <c r="G75" s="1550"/>
      <c r="H75" s="396" t="s">
        <v>241</v>
      </c>
      <c r="I75" s="1071"/>
      <c r="J75" s="1071"/>
      <c r="K75" s="1059">
        <v>440000</v>
      </c>
      <c r="L75" s="396" t="s">
        <v>241</v>
      </c>
    </row>
    <row r="76" spans="1:13" ht="20.85" customHeight="1" x14ac:dyDescent="0.2">
      <c r="A76" s="1064" t="s">
        <v>1344</v>
      </c>
      <c r="B76" s="1550" t="s">
        <v>287</v>
      </c>
      <c r="C76" s="1550"/>
      <c r="D76" s="1550"/>
      <c r="E76" s="1550"/>
      <c r="F76" s="1550"/>
      <c r="G76" s="1550"/>
      <c r="H76" s="396" t="s">
        <v>241</v>
      </c>
      <c r="I76" s="1071"/>
      <c r="J76" s="1071"/>
      <c r="K76" s="1059">
        <v>165000</v>
      </c>
      <c r="L76" s="396" t="s">
        <v>241</v>
      </c>
    </row>
    <row r="77" spans="1:13" ht="20.85" customHeight="1" x14ac:dyDescent="0.2">
      <c r="A77" s="1064" t="s">
        <v>1902</v>
      </c>
      <c r="B77" s="1550" t="s">
        <v>286</v>
      </c>
      <c r="C77" s="1550"/>
      <c r="D77" s="1550"/>
      <c r="E77" s="1550"/>
      <c r="F77" s="1550"/>
      <c r="G77" s="1550"/>
      <c r="H77" s="396" t="s">
        <v>241</v>
      </c>
      <c r="I77" s="1071"/>
      <c r="J77" s="1071"/>
      <c r="K77" s="1059">
        <v>702000</v>
      </c>
      <c r="L77" s="396" t="s">
        <v>241</v>
      </c>
    </row>
    <row r="78" spans="1:13" ht="20.85" customHeight="1" x14ac:dyDescent="0.2">
      <c r="A78" s="900" t="s">
        <v>212</v>
      </c>
      <c r="B78" s="1714" t="s">
        <v>1329</v>
      </c>
      <c r="C78" s="1714"/>
      <c r="D78" s="1714"/>
      <c r="E78" s="1714"/>
      <c r="F78" s="1714"/>
      <c r="G78" s="1714"/>
      <c r="H78" s="396"/>
      <c r="I78" s="1071"/>
      <c r="J78" s="1066"/>
      <c r="K78" s="1071"/>
      <c r="L78" s="396"/>
    </row>
    <row r="79" spans="1:13" ht="20.85" customHeight="1" x14ac:dyDescent="0.2">
      <c r="A79" s="900" t="s">
        <v>214</v>
      </c>
      <c r="B79" s="1713" t="s">
        <v>294</v>
      </c>
      <c r="C79" s="1713"/>
      <c r="D79" s="1713"/>
      <c r="E79" s="1713"/>
      <c r="F79" s="1713"/>
      <c r="G79" s="1713"/>
      <c r="H79" s="396"/>
      <c r="I79" s="1071"/>
      <c r="J79" s="1066"/>
      <c r="K79" s="1071"/>
      <c r="L79" s="396"/>
    </row>
    <row r="80" spans="1:13" ht="20.85" customHeight="1" x14ac:dyDescent="0.2">
      <c r="A80" s="1063" t="s">
        <v>1540</v>
      </c>
      <c r="B80" s="1550" t="s">
        <v>290</v>
      </c>
      <c r="C80" s="1550"/>
      <c r="D80" s="1550"/>
      <c r="E80" s="1550"/>
      <c r="F80" s="1550"/>
      <c r="G80" s="1550"/>
      <c r="H80" s="396" t="s">
        <v>241</v>
      </c>
      <c r="I80" s="1071"/>
      <c r="J80" s="1071"/>
      <c r="K80" s="1059">
        <v>61000</v>
      </c>
      <c r="L80" s="396" t="s">
        <v>241</v>
      </c>
    </row>
    <row r="81" spans="1:12" ht="20.85" customHeight="1" x14ac:dyDescent="0.2">
      <c r="A81" s="1063" t="s">
        <v>1541</v>
      </c>
      <c r="B81" s="1550" t="s">
        <v>289</v>
      </c>
      <c r="C81" s="1550"/>
      <c r="D81" s="1550"/>
      <c r="E81" s="1550"/>
      <c r="F81" s="1550"/>
      <c r="G81" s="1550"/>
      <c r="H81" s="396" t="s">
        <v>241</v>
      </c>
      <c r="I81" s="1071"/>
      <c r="J81" s="1071"/>
      <c r="K81" s="1059">
        <v>733000</v>
      </c>
      <c r="L81" s="396" t="s">
        <v>241</v>
      </c>
    </row>
    <row r="82" spans="1:12" ht="20.85" customHeight="1" x14ac:dyDescent="0.2">
      <c r="A82" s="1063" t="s">
        <v>1903</v>
      </c>
      <c r="B82" s="1550" t="s">
        <v>288</v>
      </c>
      <c r="C82" s="1550"/>
      <c r="D82" s="1550"/>
      <c r="E82" s="1550"/>
      <c r="F82" s="1550"/>
      <c r="G82" s="1550"/>
      <c r="H82" s="396" t="s">
        <v>241</v>
      </c>
      <c r="I82" s="1071"/>
      <c r="J82" s="1071"/>
      <c r="K82" s="1059">
        <v>595000</v>
      </c>
      <c r="L82" s="396" t="s">
        <v>241</v>
      </c>
    </row>
    <row r="83" spans="1:12" ht="20.85" customHeight="1" x14ac:dyDescent="0.2">
      <c r="A83" s="1063" t="s">
        <v>1904</v>
      </c>
      <c r="B83" s="1550" t="s">
        <v>287</v>
      </c>
      <c r="C83" s="1550"/>
      <c r="D83" s="1550"/>
      <c r="E83" s="1550"/>
      <c r="F83" s="1550"/>
      <c r="G83" s="1550"/>
      <c r="H83" s="396" t="s">
        <v>241</v>
      </c>
      <c r="I83" s="1071"/>
      <c r="J83" s="1071"/>
      <c r="K83" s="1059">
        <v>861000</v>
      </c>
      <c r="L83" s="396" t="s">
        <v>241</v>
      </c>
    </row>
    <row r="84" spans="1:12" ht="20.85" customHeight="1" x14ac:dyDescent="0.2">
      <c r="A84" s="1063" t="s">
        <v>1905</v>
      </c>
      <c r="B84" s="1550" t="s">
        <v>286</v>
      </c>
      <c r="C84" s="1550"/>
      <c r="D84" s="1550"/>
      <c r="E84" s="1550"/>
      <c r="F84" s="1550"/>
      <c r="G84" s="1550"/>
      <c r="H84" s="396" t="s">
        <v>241</v>
      </c>
      <c r="I84" s="1071"/>
      <c r="J84" s="1071"/>
      <c r="K84" s="1059">
        <v>936000</v>
      </c>
      <c r="L84" s="396" t="s">
        <v>241</v>
      </c>
    </row>
    <row r="85" spans="1:12" ht="20.85" customHeight="1" x14ac:dyDescent="0.2">
      <c r="A85" s="900" t="s">
        <v>216</v>
      </c>
      <c r="B85" s="1713" t="s">
        <v>293</v>
      </c>
      <c r="C85" s="1713"/>
      <c r="D85" s="1713"/>
      <c r="E85" s="1713"/>
      <c r="F85" s="1713"/>
      <c r="G85" s="1713"/>
      <c r="H85" s="396"/>
      <c r="I85" s="1071"/>
      <c r="J85" s="1066"/>
      <c r="K85" s="1071"/>
      <c r="L85" s="396"/>
    </row>
    <row r="86" spans="1:12" ht="20.85" customHeight="1" x14ac:dyDescent="0.2">
      <c r="A86" s="1063" t="s">
        <v>1543</v>
      </c>
      <c r="B86" s="1550" t="s">
        <v>290</v>
      </c>
      <c r="C86" s="1550"/>
      <c r="D86" s="1550"/>
      <c r="E86" s="1550"/>
      <c r="F86" s="1550"/>
      <c r="G86" s="1550"/>
      <c r="H86" s="396" t="s">
        <v>241</v>
      </c>
      <c r="I86" s="1071"/>
      <c r="J86" s="1071"/>
      <c r="K86" s="1059">
        <v>789000</v>
      </c>
      <c r="L86" s="396" t="s">
        <v>241</v>
      </c>
    </row>
    <row r="87" spans="1:12" ht="20.85" customHeight="1" x14ac:dyDescent="0.2">
      <c r="A87" s="1063" t="s">
        <v>1906</v>
      </c>
      <c r="B87" s="1550" t="s">
        <v>289</v>
      </c>
      <c r="C87" s="1550"/>
      <c r="D87" s="1550"/>
      <c r="E87" s="1550"/>
      <c r="F87" s="1550"/>
      <c r="G87" s="1550"/>
      <c r="H87" s="396" t="s">
        <v>241</v>
      </c>
      <c r="I87" s="1071"/>
      <c r="J87" s="1071"/>
      <c r="K87" s="1059">
        <v>524000</v>
      </c>
      <c r="L87" s="396" t="s">
        <v>241</v>
      </c>
    </row>
    <row r="88" spans="1:12" ht="20.85" customHeight="1" x14ac:dyDescent="0.2">
      <c r="A88" s="1063" t="s">
        <v>1907</v>
      </c>
      <c r="B88" s="1550" t="s">
        <v>288</v>
      </c>
      <c r="C88" s="1550"/>
      <c r="D88" s="1550"/>
      <c r="E88" s="1550"/>
      <c r="F88" s="1550"/>
      <c r="G88" s="1550"/>
      <c r="H88" s="396" t="s">
        <v>241</v>
      </c>
      <c r="I88" s="1071"/>
      <c r="J88" s="1071"/>
      <c r="K88" s="1059">
        <v>661000</v>
      </c>
      <c r="L88" s="396" t="s">
        <v>241</v>
      </c>
    </row>
    <row r="89" spans="1:12" ht="20.85" customHeight="1" x14ac:dyDescent="0.2">
      <c r="A89" s="1063" t="s">
        <v>1908</v>
      </c>
      <c r="B89" s="1550" t="s">
        <v>287</v>
      </c>
      <c r="C89" s="1550"/>
      <c r="D89" s="1550"/>
      <c r="E89" s="1550"/>
      <c r="F89" s="1550"/>
      <c r="G89" s="1550"/>
      <c r="H89" s="396" t="s">
        <v>241</v>
      </c>
      <c r="I89" s="1071"/>
      <c r="J89" s="1071"/>
      <c r="K89" s="1059">
        <v>368000</v>
      </c>
      <c r="L89" s="396" t="s">
        <v>241</v>
      </c>
    </row>
    <row r="90" spans="1:12" ht="20.85" customHeight="1" x14ac:dyDescent="0.2">
      <c r="A90" s="1063" t="s">
        <v>1909</v>
      </c>
      <c r="B90" s="1550" t="s">
        <v>286</v>
      </c>
      <c r="C90" s="1550"/>
      <c r="D90" s="1550"/>
      <c r="E90" s="1550"/>
      <c r="F90" s="1550"/>
      <c r="G90" s="1550"/>
      <c r="H90" s="396" t="s">
        <v>241</v>
      </c>
      <c r="I90" s="1071"/>
      <c r="J90" s="1071"/>
      <c r="K90" s="1059">
        <v>828000</v>
      </c>
      <c r="L90" s="396" t="s">
        <v>241</v>
      </c>
    </row>
    <row r="91" spans="1:12" ht="20.85" customHeight="1" x14ac:dyDescent="0.2">
      <c r="A91" s="900" t="s">
        <v>1312</v>
      </c>
      <c r="B91" s="1714" t="s">
        <v>1251</v>
      </c>
      <c r="C91" s="1714"/>
      <c r="D91" s="1714"/>
      <c r="E91" s="1714"/>
      <c r="F91" s="1714"/>
      <c r="G91" s="1714"/>
      <c r="H91" s="396"/>
      <c r="I91" s="1071"/>
      <c r="J91" s="1066"/>
      <c r="K91" s="1071"/>
      <c r="L91" s="396"/>
    </row>
    <row r="92" spans="1:12" ht="20.85" customHeight="1" x14ac:dyDescent="0.2">
      <c r="A92" s="1062" t="s">
        <v>225</v>
      </c>
      <c r="B92" s="1550" t="s">
        <v>290</v>
      </c>
      <c r="C92" s="1550"/>
      <c r="D92" s="1550"/>
      <c r="E92" s="1550"/>
      <c r="F92" s="1550"/>
      <c r="G92" s="1550"/>
      <c r="H92" s="396" t="s">
        <v>241</v>
      </c>
      <c r="I92" s="1071"/>
      <c r="J92" s="1071"/>
      <c r="K92" s="1059">
        <v>650000</v>
      </c>
      <c r="L92" s="396" t="s">
        <v>241</v>
      </c>
    </row>
    <row r="93" spans="1:12" ht="20.85" customHeight="1" x14ac:dyDescent="0.2">
      <c r="A93" s="1062" t="s">
        <v>227</v>
      </c>
      <c r="B93" s="1550" t="s">
        <v>289</v>
      </c>
      <c r="C93" s="1550"/>
      <c r="D93" s="1550"/>
      <c r="E93" s="1550"/>
      <c r="F93" s="1550"/>
      <c r="G93" s="1550"/>
      <c r="H93" s="396" t="s">
        <v>241</v>
      </c>
      <c r="I93" s="1071"/>
      <c r="J93" s="1071"/>
      <c r="K93" s="1059">
        <v>315000</v>
      </c>
      <c r="L93" s="396" t="s">
        <v>241</v>
      </c>
    </row>
    <row r="94" spans="1:12" ht="20.85" customHeight="1" x14ac:dyDescent="0.2">
      <c r="A94" s="1062" t="s">
        <v>229</v>
      </c>
      <c r="B94" s="1550" t="s">
        <v>288</v>
      </c>
      <c r="C94" s="1550"/>
      <c r="D94" s="1550"/>
      <c r="E94" s="1550"/>
      <c r="F94" s="1550"/>
      <c r="G94" s="1550"/>
      <c r="H94" s="396" t="s">
        <v>241</v>
      </c>
      <c r="I94" s="1071"/>
      <c r="J94" s="1071"/>
      <c r="K94" s="1059">
        <v>968000</v>
      </c>
      <c r="L94" s="396" t="s">
        <v>241</v>
      </c>
    </row>
    <row r="95" spans="1:12" ht="20.85" customHeight="1" x14ac:dyDescent="0.2">
      <c r="A95" s="1062" t="s">
        <v>231</v>
      </c>
      <c r="B95" s="1550" t="s">
        <v>287</v>
      </c>
      <c r="C95" s="1550"/>
      <c r="D95" s="1550"/>
      <c r="E95" s="1550"/>
      <c r="F95" s="1550"/>
      <c r="G95" s="1550"/>
      <c r="H95" s="396" t="s">
        <v>241</v>
      </c>
      <c r="I95" s="1071"/>
      <c r="J95" s="1071"/>
      <c r="K95" s="1059">
        <v>338000</v>
      </c>
      <c r="L95" s="396" t="s">
        <v>241</v>
      </c>
    </row>
    <row r="96" spans="1:12" ht="20.85" customHeight="1" x14ac:dyDescent="0.2">
      <c r="A96" s="1062" t="s">
        <v>1313</v>
      </c>
      <c r="B96" s="1550" t="s">
        <v>286</v>
      </c>
      <c r="C96" s="1550"/>
      <c r="D96" s="1550"/>
      <c r="E96" s="1550"/>
      <c r="F96" s="1550"/>
      <c r="G96" s="1550"/>
      <c r="H96" s="396" t="s">
        <v>241</v>
      </c>
      <c r="I96" s="1071"/>
      <c r="J96" s="1071"/>
      <c r="K96" s="1059">
        <v>166000</v>
      </c>
      <c r="L96" s="396" t="s">
        <v>241</v>
      </c>
    </row>
    <row r="97" spans="1:15" ht="8.85" customHeight="1" x14ac:dyDescent="0.2">
      <c r="A97" s="182"/>
      <c r="B97" s="1042"/>
      <c r="C97" s="938"/>
      <c r="D97" s="938"/>
      <c r="E97" s="938"/>
      <c r="F97" s="938"/>
      <c r="G97" s="938"/>
      <c r="H97" s="396"/>
      <c r="I97" s="888"/>
      <c r="J97" s="1066"/>
      <c r="K97" s="888"/>
      <c r="L97" s="396"/>
    </row>
    <row r="98" spans="1:15" ht="36.75" customHeight="1" x14ac:dyDescent="0.2">
      <c r="A98" s="182" t="s">
        <v>1314</v>
      </c>
      <c r="B98" s="1721" t="s">
        <v>1910</v>
      </c>
      <c r="C98" s="1716"/>
      <c r="D98" s="1716"/>
      <c r="E98" s="1716"/>
      <c r="F98" s="1716"/>
      <c r="G98" s="1716"/>
      <c r="H98" s="396"/>
      <c r="I98" s="1071"/>
      <c r="J98" s="1066"/>
      <c r="K98" s="1071"/>
      <c r="L98" s="396"/>
      <c r="N98" s="1057" t="str">
        <f>IF(P_CRSABIS_OPT.MELD!$D$63="Y",IF(K102="","",IF(AND(K102&lt;=30000,K102&lt;=0.06*K99),"Criteria met","Criteria NOT met")),"")</f>
        <v/>
      </c>
      <c r="O98" s="1770"/>
    </row>
    <row r="99" spans="1:15" ht="21.6" customHeight="1" thickBot="1" x14ac:dyDescent="0.25">
      <c r="A99" s="900" t="s">
        <v>869</v>
      </c>
      <c r="B99" s="1713" t="s">
        <v>328</v>
      </c>
      <c r="C99" s="1713"/>
      <c r="D99" s="1713"/>
      <c r="E99" s="1713"/>
      <c r="F99" s="1713"/>
      <c r="G99" s="1713"/>
      <c r="H99" s="396" t="s">
        <v>241</v>
      </c>
      <c r="I99" s="1071"/>
      <c r="J99" s="1072"/>
      <c r="K99" s="1061">
        <f>K100+K101</f>
        <v>1573000</v>
      </c>
      <c r="L99" s="396" t="s">
        <v>241</v>
      </c>
    </row>
    <row r="100" spans="1:15" ht="21.6" customHeight="1" thickTop="1" x14ac:dyDescent="0.2">
      <c r="A100" s="1062" t="s">
        <v>871</v>
      </c>
      <c r="B100" s="1550" t="s">
        <v>330</v>
      </c>
      <c r="C100" s="1550"/>
      <c r="D100" s="1550"/>
      <c r="E100" s="1550"/>
      <c r="F100" s="1550"/>
      <c r="G100" s="1550"/>
      <c r="H100" s="396" t="s">
        <v>241</v>
      </c>
      <c r="I100" s="1071"/>
      <c r="J100" s="1071"/>
      <c r="K100" s="1059">
        <v>756000</v>
      </c>
      <c r="L100" s="396" t="s">
        <v>241</v>
      </c>
    </row>
    <row r="101" spans="1:15" ht="21.6" customHeight="1" x14ac:dyDescent="0.2">
      <c r="A101" s="1062" t="s">
        <v>873</v>
      </c>
      <c r="B101" s="1550" t="s">
        <v>329</v>
      </c>
      <c r="C101" s="1550"/>
      <c r="D101" s="1550"/>
      <c r="E101" s="1550"/>
      <c r="F101" s="1550"/>
      <c r="G101" s="1550"/>
      <c r="H101" s="396" t="s">
        <v>241</v>
      </c>
      <c r="I101" s="1071"/>
      <c r="J101" s="1072"/>
      <c r="K101" s="1059">
        <v>817000</v>
      </c>
      <c r="L101" s="396" t="s">
        <v>241</v>
      </c>
    </row>
    <row r="102" spans="1:15" ht="20.85" customHeight="1" x14ac:dyDescent="0.2">
      <c r="A102" s="900" t="s">
        <v>877</v>
      </c>
      <c r="B102" s="1722" t="s">
        <v>1260</v>
      </c>
      <c r="C102" s="1722"/>
      <c r="D102" s="1722"/>
      <c r="E102" s="1722"/>
      <c r="F102" s="1722"/>
      <c r="G102" s="1722"/>
      <c r="H102" s="396" t="s">
        <v>241</v>
      </c>
      <c r="I102" s="1071"/>
      <c r="J102" s="1072"/>
      <c r="K102" s="1059">
        <v>330000</v>
      </c>
      <c r="L102" s="396" t="s">
        <v>241</v>
      </c>
    </row>
    <row r="103" spans="1:15" ht="20.85" customHeight="1" thickBot="1" x14ac:dyDescent="0.25">
      <c r="A103" s="1081" t="s">
        <v>1911</v>
      </c>
      <c r="B103" s="1550" t="s">
        <v>326</v>
      </c>
      <c r="C103" s="1550"/>
      <c r="D103" s="1550"/>
      <c r="E103" s="1550"/>
      <c r="F103" s="1550"/>
      <c r="G103" s="1550"/>
      <c r="H103" s="396" t="s">
        <v>241</v>
      </c>
      <c r="I103" s="1071"/>
      <c r="J103" s="1072"/>
      <c r="K103" s="270">
        <f>IF(OR(K99="",K99=0),"",1/K99*K102)</f>
        <v>0.20979020979020976</v>
      </c>
      <c r="L103" s="396" t="s">
        <v>241</v>
      </c>
    </row>
    <row r="104" spans="1:15" ht="7.5" customHeight="1" thickTop="1" x14ac:dyDescent="0.2">
      <c r="A104" s="141"/>
      <c r="B104" s="141"/>
      <c r="C104" s="141"/>
      <c r="D104" s="141"/>
      <c r="E104" s="141"/>
      <c r="F104" s="141"/>
      <c r="G104" s="141"/>
      <c r="H104" s="141"/>
      <c r="I104" s="141"/>
      <c r="J104" s="141"/>
      <c r="K104" s="141"/>
      <c r="L104" s="141"/>
    </row>
    <row r="105" spans="1:15" ht="18.75" customHeight="1" x14ac:dyDescent="0.2">
      <c r="B105" s="26" t="str">
        <f>"Version: "&amp;D112</f>
        <v>Version: 2.00.E1</v>
      </c>
      <c r="L105" s="107" t="s">
        <v>25</v>
      </c>
    </row>
    <row r="106" spans="1:15" ht="20.85" customHeight="1" x14ac:dyDescent="0.2"/>
    <row r="109" spans="1:15" x14ac:dyDescent="0.2">
      <c r="A109" s="21"/>
      <c r="B109" s="237"/>
      <c r="C109" s="20" t="s">
        <v>24</v>
      </c>
      <c r="D109" s="19" t="str">
        <f>K2</f>
        <v>XXXXXX</v>
      </c>
    </row>
    <row r="110" spans="1:15" x14ac:dyDescent="0.2">
      <c r="A110" s="15"/>
      <c r="B110" s="61"/>
      <c r="C110" s="9"/>
      <c r="D110" s="239" t="str">
        <f>K1</f>
        <v>P_MKR_BIS_SSA</v>
      </c>
    </row>
    <row r="111" spans="1:15" x14ac:dyDescent="0.2">
      <c r="A111" s="15"/>
      <c r="B111" s="61"/>
      <c r="C111" s="9"/>
      <c r="D111" s="239" t="str">
        <f>K3</f>
        <v>DD.MM.YYYY</v>
      </c>
    </row>
    <row r="112" spans="1:15" x14ac:dyDescent="0.2">
      <c r="A112" s="15"/>
      <c r="B112" s="61"/>
      <c r="C112" s="9"/>
      <c r="D112" s="16" t="s">
        <v>248</v>
      </c>
    </row>
    <row r="113" spans="1:4" x14ac:dyDescent="0.2">
      <c r="A113" s="15"/>
      <c r="B113" s="61"/>
      <c r="C113" s="9"/>
      <c r="D113" s="216" t="str">
        <f>I10</f>
        <v>col. 01</v>
      </c>
    </row>
    <row r="114" spans="1:4" x14ac:dyDescent="0.2">
      <c r="A114" s="15"/>
      <c r="B114" s="61"/>
      <c r="C114" s="9"/>
      <c r="D114" s="1173">
        <f>COUNTIF(N10:N103,"ERROR")</f>
        <v>2</v>
      </c>
    </row>
    <row r="115" spans="1:4" x14ac:dyDescent="0.2">
      <c r="A115" s="13"/>
      <c r="B115" s="141"/>
      <c r="C115" s="376"/>
      <c r="D115" s="1176">
        <f>COUNTIF(N10:N103,"WARNUNG")</f>
        <v>0</v>
      </c>
    </row>
  </sheetData>
  <mergeCells count="86">
    <mergeCell ref="B35:G35"/>
    <mergeCell ref="B63:G63"/>
    <mergeCell ref="B64:G64"/>
    <mergeCell ref="B55:G55"/>
    <mergeCell ref="B68:G68"/>
    <mergeCell ref="B57:G57"/>
    <mergeCell ref="B58:G58"/>
    <mergeCell ref="B101:G101"/>
    <mergeCell ref="B14:G14"/>
    <mergeCell ref="B16:G16"/>
    <mergeCell ref="B102:G102"/>
    <mergeCell ref="B100:G100"/>
    <mergeCell ref="B99:G99"/>
    <mergeCell ref="B19:G19"/>
    <mergeCell ref="B20:G20"/>
    <mergeCell ref="B22:G22"/>
    <mergeCell ref="B23:G23"/>
    <mergeCell ref="B15:G15"/>
    <mergeCell ref="B21:G21"/>
    <mergeCell ref="B26:G26"/>
    <mergeCell ref="B27:G27"/>
    <mergeCell ref="B30:G30"/>
    <mergeCell ref="B25:G25"/>
    <mergeCell ref="B98:G98"/>
    <mergeCell ref="B17:G17"/>
    <mergeCell ref="B28:G28"/>
    <mergeCell ref="B29:G29"/>
    <mergeCell ref="B103:G103"/>
    <mergeCell ref="B32:G32"/>
    <mergeCell ref="B61:G61"/>
    <mergeCell ref="B48:G48"/>
    <mergeCell ref="B49:G49"/>
    <mergeCell ref="B50:G50"/>
    <mergeCell ref="B51:G51"/>
    <mergeCell ref="B52:G52"/>
    <mergeCell ref="B53:G53"/>
    <mergeCell ref="B54:G54"/>
    <mergeCell ref="B91:G91"/>
    <mergeCell ref="B56:G56"/>
    <mergeCell ref="B11:G11"/>
    <mergeCell ref="B13:G13"/>
    <mergeCell ref="B45:G45"/>
    <mergeCell ref="B46:G46"/>
    <mergeCell ref="B47:G47"/>
    <mergeCell ref="B36:G36"/>
    <mergeCell ref="B37:G37"/>
    <mergeCell ref="B38:G38"/>
    <mergeCell ref="B39:G39"/>
    <mergeCell ref="B40:G40"/>
    <mergeCell ref="B41:G41"/>
    <mergeCell ref="B42:G42"/>
    <mergeCell ref="B43:G43"/>
    <mergeCell ref="B44:G44"/>
    <mergeCell ref="B33:G33"/>
    <mergeCell ref="B34:G34"/>
    <mergeCell ref="B73:G73"/>
    <mergeCell ref="B74:G74"/>
    <mergeCell ref="B75:G75"/>
    <mergeCell ref="B76:G76"/>
    <mergeCell ref="B59:G59"/>
    <mergeCell ref="B71:G71"/>
    <mergeCell ref="B67:G67"/>
    <mergeCell ref="B65:G65"/>
    <mergeCell ref="B66:G66"/>
    <mergeCell ref="B62:G62"/>
    <mergeCell ref="B72:G72"/>
    <mergeCell ref="B69:G69"/>
    <mergeCell ref="B86:G86"/>
    <mergeCell ref="B87:G87"/>
    <mergeCell ref="B88:G88"/>
    <mergeCell ref="B89:G89"/>
    <mergeCell ref="B90:G90"/>
    <mergeCell ref="B77:G77"/>
    <mergeCell ref="B79:G79"/>
    <mergeCell ref="B85:G85"/>
    <mergeCell ref="B80:G80"/>
    <mergeCell ref="B81:G81"/>
    <mergeCell ref="B82:G82"/>
    <mergeCell ref="B83:G83"/>
    <mergeCell ref="B84:G84"/>
    <mergeCell ref="B78:G78"/>
    <mergeCell ref="B92:G92"/>
    <mergeCell ref="B93:G93"/>
    <mergeCell ref="B94:G94"/>
    <mergeCell ref="B95:G95"/>
    <mergeCell ref="B96:G96"/>
  </mergeCells>
  <phoneticPr fontId="7" type="noConversion"/>
  <printOptions gridLines="1" gridLinesSet="0"/>
  <pageMargins left="0.39370078740157483" right="0.39370078740157483" top="0.39370078740157483" bottom="0.39370078740157483" header="0.31496062992125984" footer="0.31496062992125984"/>
  <pageSetup paperSize="9" scale="62" fitToHeight="2" pageOrder="overThenDown" orientation="portrait" horizontalDpi="4294967292" verticalDpi="4294967292" r:id="rId1"/>
  <headerFooter alignWithMargins="0">
    <oddFooter>&amp;L&amp;"Arial,Fett"SNB Confidential&amp;C&amp;D&amp;RPage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88073-5489-4CF9-8882-11897F019631}">
  <sheetPr>
    <tabColor rgb="FF92D050"/>
  </sheetPr>
  <dimension ref="A1:M37"/>
  <sheetViews>
    <sheetView workbookViewId="0">
      <selection activeCell="J21" sqref="J21"/>
    </sheetView>
  </sheetViews>
  <sheetFormatPr defaultColWidth="13.42578125" defaultRowHeight="12.75" x14ac:dyDescent="0.2"/>
  <cols>
    <col min="1" max="1" width="13" style="406" customWidth="1"/>
    <col min="2" max="2" width="32.5703125" style="407" customWidth="1"/>
    <col min="3" max="3" width="4" style="407" bestFit="1" customWidth="1"/>
    <col min="4" max="6" width="21.42578125" style="407" customWidth="1"/>
    <col min="7" max="7" width="4" style="407" bestFit="1" customWidth="1"/>
    <col min="8" max="12" width="10" style="407" customWidth="1"/>
    <col min="13" max="16384" width="13.42578125" style="407"/>
  </cols>
  <sheetData>
    <row r="1" spans="1:13" s="616" customFormat="1" ht="25.35" customHeight="1" x14ac:dyDescent="0.2">
      <c r="A1" s="421"/>
      <c r="E1" s="640" t="s">
        <v>100</v>
      </c>
      <c r="F1" s="1313" t="s">
        <v>1727</v>
      </c>
    </row>
    <row r="2" spans="1:13" s="616" customFormat="1" ht="25.35" customHeight="1" x14ac:dyDescent="0.2">
      <c r="A2" s="1286"/>
      <c r="B2" s="441"/>
      <c r="E2" s="640" t="s">
        <v>98</v>
      </c>
      <c r="F2" s="1287" t="s">
        <v>119</v>
      </c>
    </row>
    <row r="3" spans="1:13" s="616" customFormat="1" ht="25.35" customHeight="1" x14ac:dyDescent="0.2">
      <c r="A3" s="421"/>
      <c r="E3" s="640" t="s">
        <v>96</v>
      </c>
      <c r="F3" s="1288" t="s">
        <v>121</v>
      </c>
    </row>
    <row r="4" spans="1:13" ht="22.5" customHeight="1" x14ac:dyDescent="0.25">
      <c r="A4" s="1206"/>
      <c r="B4" s="106" t="s">
        <v>2250</v>
      </c>
      <c r="D4" s="1209" t="s">
        <v>2224</v>
      </c>
      <c r="J4" s="409"/>
    </row>
    <row r="5" spans="1:13" ht="18" x14ac:dyDescent="0.25">
      <c r="A5" s="416"/>
      <c r="B5" s="407" t="s">
        <v>349</v>
      </c>
      <c r="D5" s="418" t="s">
        <v>99</v>
      </c>
      <c r="J5" s="409"/>
    </row>
    <row r="6" spans="1:13" ht="20.100000000000001" customHeight="1" x14ac:dyDescent="0.2">
      <c r="A6" s="419"/>
      <c r="B6" s="407" t="s">
        <v>350</v>
      </c>
      <c r="C6" s="420"/>
      <c r="D6" s="407" t="s">
        <v>94</v>
      </c>
      <c r="E6" s="420"/>
      <c r="F6" s="420"/>
      <c r="G6" s="420"/>
      <c r="J6" s="409"/>
    </row>
    <row r="7" spans="1:13" x14ac:dyDescent="0.2">
      <c r="A7" s="419"/>
      <c r="B7" s="407" t="s">
        <v>352</v>
      </c>
      <c r="C7" s="420"/>
      <c r="J7" s="409"/>
    </row>
    <row r="8" spans="1:13" s="442" customFormat="1" ht="18.75" customHeight="1" x14ac:dyDescent="0.2">
      <c r="A8" s="1289"/>
      <c r="B8" s="1290"/>
      <c r="C8" s="260"/>
      <c r="D8" s="332"/>
      <c r="E8" s="332"/>
      <c r="F8" s="332"/>
    </row>
    <row r="9" spans="1:13" s="616" customFormat="1" ht="16.350000000000001" customHeight="1" x14ac:dyDescent="0.2">
      <c r="A9" s="1298"/>
      <c r="B9" s="1291"/>
      <c r="C9" s="1293"/>
      <c r="D9" s="1484" t="s">
        <v>1721</v>
      </c>
      <c r="E9" s="1485"/>
      <c r="F9" s="1486"/>
      <c r="G9" s="652"/>
    </row>
    <row r="10" spans="1:13" s="616" customFormat="1" ht="16.350000000000001" customHeight="1" x14ac:dyDescent="0.2">
      <c r="A10" s="1300"/>
      <c r="B10" s="1294"/>
      <c r="C10" s="439"/>
      <c r="D10" s="1484" t="s">
        <v>2068</v>
      </c>
      <c r="E10" s="1485"/>
      <c r="F10" s="1486"/>
      <c r="G10" s="660"/>
    </row>
    <row r="11" spans="1:13" s="616" customFormat="1" ht="65.25" customHeight="1" x14ac:dyDescent="0.25">
      <c r="A11" s="1384">
        <v>1</v>
      </c>
      <c r="B11" s="1363" t="s">
        <v>2064</v>
      </c>
      <c r="C11" s="1310"/>
      <c r="D11" s="1295" t="s">
        <v>1715</v>
      </c>
      <c r="E11" s="1295" t="s">
        <v>1716</v>
      </c>
      <c r="F11" s="1295" t="s">
        <v>1717</v>
      </c>
      <c r="G11" s="670"/>
      <c r="H11" s="1296"/>
    </row>
    <row r="12" spans="1:13" s="616" customFormat="1" ht="15.75" x14ac:dyDescent="0.25">
      <c r="A12" s="1300"/>
      <c r="B12" s="1339"/>
      <c r="C12" s="403"/>
      <c r="D12" s="1297" t="s">
        <v>22</v>
      </c>
      <c r="E12" s="1297" t="s">
        <v>21</v>
      </c>
      <c r="F12" s="1297" t="s">
        <v>20</v>
      </c>
      <c r="G12" s="403"/>
      <c r="H12" s="1296"/>
    </row>
    <row r="13" spans="1:13" s="442" customFormat="1" ht="21.6" customHeight="1" x14ac:dyDescent="0.2">
      <c r="A13" s="438">
        <v>1.1000000000000001</v>
      </c>
      <c r="B13" s="99" t="s">
        <v>2054</v>
      </c>
      <c r="C13" s="709" t="s">
        <v>241</v>
      </c>
      <c r="D13" s="1306"/>
      <c r="E13" s="1306"/>
      <c r="F13" s="1306"/>
      <c r="G13" s="709" t="s">
        <v>241</v>
      </c>
      <c r="I13" s="616"/>
      <c r="J13" s="616"/>
      <c r="K13" s="616"/>
      <c r="L13" s="616"/>
      <c r="M13" s="616"/>
    </row>
    <row r="14" spans="1:13" s="442" customFormat="1" ht="21.6" customHeight="1" x14ac:dyDescent="0.2">
      <c r="A14" s="438">
        <v>1.2</v>
      </c>
      <c r="B14" s="99" t="s">
        <v>2055</v>
      </c>
      <c r="C14" s="709" t="s">
        <v>241</v>
      </c>
      <c r="D14" s="1306"/>
      <c r="E14" s="1306"/>
      <c r="F14" s="1306"/>
      <c r="G14" s="709" t="s">
        <v>241</v>
      </c>
      <c r="H14" s="441"/>
      <c r="I14" s="616"/>
      <c r="J14" s="616"/>
      <c r="K14" s="616"/>
      <c r="L14" s="616"/>
      <c r="M14" s="616"/>
    </row>
    <row r="15" spans="1:13" s="442" customFormat="1" ht="21.6" customHeight="1" x14ac:dyDescent="0.2">
      <c r="A15" s="438">
        <v>1.3</v>
      </c>
      <c r="B15" s="99" t="s">
        <v>2056</v>
      </c>
      <c r="C15" s="709" t="s">
        <v>241</v>
      </c>
      <c r="D15" s="1306"/>
      <c r="E15" s="1306"/>
      <c r="F15" s="1306"/>
      <c r="G15" s="709" t="s">
        <v>241</v>
      </c>
      <c r="H15" s="441"/>
      <c r="I15" s="616"/>
      <c r="J15" s="616"/>
      <c r="K15" s="616"/>
      <c r="L15" s="616"/>
      <c r="M15" s="616"/>
    </row>
    <row r="16" spans="1:13" s="442" customFormat="1" ht="21.6" customHeight="1" x14ac:dyDescent="0.2">
      <c r="A16" s="438">
        <v>1.4</v>
      </c>
      <c r="B16" s="99" t="s">
        <v>2057</v>
      </c>
      <c r="C16" s="709" t="s">
        <v>241</v>
      </c>
      <c r="D16" s="1306"/>
      <c r="E16" s="1306"/>
      <c r="F16" s="1306"/>
      <c r="G16" s="709" t="s">
        <v>241</v>
      </c>
      <c r="H16" s="441"/>
      <c r="I16" s="616"/>
      <c r="J16" s="616"/>
      <c r="K16" s="616"/>
      <c r="L16" s="616"/>
      <c r="M16" s="616"/>
    </row>
    <row r="17" spans="1:13" s="442" customFormat="1" ht="21.6" customHeight="1" x14ac:dyDescent="0.2">
      <c r="A17" s="438">
        <v>1.5</v>
      </c>
      <c r="B17" s="99" t="s">
        <v>2058</v>
      </c>
      <c r="C17" s="709" t="s">
        <v>241</v>
      </c>
      <c r="D17" s="1306"/>
      <c r="E17" s="1306"/>
      <c r="F17" s="1306"/>
      <c r="G17" s="709" t="s">
        <v>241</v>
      </c>
      <c r="H17" s="441"/>
      <c r="I17" s="616"/>
      <c r="J17" s="616"/>
      <c r="K17" s="616"/>
      <c r="L17" s="616"/>
      <c r="M17" s="616"/>
    </row>
    <row r="18" spans="1:13" s="442" customFormat="1" ht="21.6" customHeight="1" x14ac:dyDescent="0.2">
      <c r="A18" s="438">
        <v>1.6</v>
      </c>
      <c r="B18" s="99" t="s">
        <v>2059</v>
      </c>
      <c r="C18" s="709" t="s">
        <v>241</v>
      </c>
      <c r="D18" s="1306"/>
      <c r="E18" s="1306"/>
      <c r="F18" s="1306"/>
      <c r="G18" s="709" t="s">
        <v>241</v>
      </c>
      <c r="H18" s="441"/>
      <c r="I18" s="616"/>
      <c r="J18" s="616"/>
      <c r="K18" s="616"/>
      <c r="L18" s="616"/>
      <c r="M18" s="616"/>
    </row>
    <row r="19" spans="1:13" s="442" customFormat="1" ht="21.6" customHeight="1" x14ac:dyDescent="0.2">
      <c r="A19" s="438">
        <v>1.7</v>
      </c>
      <c r="B19" s="99" t="s">
        <v>2060</v>
      </c>
      <c r="C19" s="709" t="s">
        <v>241</v>
      </c>
      <c r="D19" s="1306"/>
      <c r="E19" s="1306"/>
      <c r="F19" s="1306"/>
      <c r="G19" s="709" t="s">
        <v>241</v>
      </c>
      <c r="H19" s="441"/>
      <c r="I19" s="616"/>
      <c r="J19" s="616"/>
      <c r="K19" s="616"/>
      <c r="L19" s="616"/>
      <c r="M19" s="616"/>
    </row>
    <row r="20" spans="1:13" s="442" customFormat="1" ht="21.6" customHeight="1" x14ac:dyDescent="0.2">
      <c r="A20" s="438">
        <v>1.8</v>
      </c>
      <c r="B20" s="99" t="s">
        <v>2061</v>
      </c>
      <c r="C20" s="709" t="s">
        <v>241</v>
      </c>
      <c r="D20" s="1306"/>
      <c r="E20" s="1306"/>
      <c r="F20" s="1306"/>
      <c r="G20" s="709" t="s">
        <v>241</v>
      </c>
      <c r="H20" s="441"/>
      <c r="I20" s="616"/>
      <c r="J20" s="616"/>
      <c r="K20" s="616"/>
      <c r="L20" s="616"/>
      <c r="M20" s="616"/>
    </row>
    <row r="21" spans="1:13" s="442" customFormat="1" ht="21.6" customHeight="1" x14ac:dyDescent="0.2">
      <c r="A21" s="438">
        <v>1.9</v>
      </c>
      <c r="B21" s="99" t="s">
        <v>2062</v>
      </c>
      <c r="C21" s="709" t="s">
        <v>241</v>
      </c>
      <c r="D21" s="1306"/>
      <c r="E21" s="1306"/>
      <c r="F21" s="1306"/>
      <c r="G21" s="709" t="s">
        <v>241</v>
      </c>
      <c r="H21" s="441"/>
      <c r="I21" s="616"/>
      <c r="J21" s="616"/>
      <c r="K21" s="616"/>
      <c r="L21" s="616"/>
      <c r="M21" s="616"/>
    </row>
    <row r="22" spans="1:13" s="442" customFormat="1" ht="21.6" customHeight="1" x14ac:dyDescent="0.2">
      <c r="A22" s="1314" t="s">
        <v>1335</v>
      </c>
      <c r="B22" s="99" t="s">
        <v>2063</v>
      </c>
      <c r="C22" s="709" t="s">
        <v>241</v>
      </c>
      <c r="D22" s="1306"/>
      <c r="E22" s="1306"/>
      <c r="F22" s="1306"/>
      <c r="G22" s="709" t="s">
        <v>241</v>
      </c>
      <c r="H22" s="441"/>
      <c r="I22" s="1296"/>
      <c r="K22" s="616"/>
      <c r="L22" s="616"/>
      <c r="M22" s="616"/>
    </row>
    <row r="23" spans="1:13" s="442" customFormat="1" ht="21.6" customHeight="1" x14ac:dyDescent="0.2">
      <c r="A23" s="1308"/>
      <c r="B23" s="1364" t="s">
        <v>1714</v>
      </c>
      <c r="C23" s="1377" t="s">
        <v>241</v>
      </c>
      <c r="D23" s="1309"/>
      <c r="E23" s="1309"/>
      <c r="F23" s="1309"/>
      <c r="G23" s="1377" t="s">
        <v>241</v>
      </c>
      <c r="H23" s="441"/>
      <c r="I23" s="1296"/>
      <c r="K23" s="616"/>
      <c r="L23" s="616"/>
      <c r="M23" s="616"/>
    </row>
    <row r="24" spans="1:13" s="442" customFormat="1" x14ac:dyDescent="0.2">
      <c r="A24" s="1286"/>
      <c r="B24" s="616"/>
      <c r="C24" s="616"/>
      <c r="D24" s="616"/>
      <c r="E24" s="1292"/>
      <c r="F24" s="1292"/>
    </row>
    <row r="25" spans="1:13" s="616" customFormat="1" ht="47.25" customHeight="1" x14ac:dyDescent="0.25">
      <c r="A25" s="1384">
        <v>2</v>
      </c>
      <c r="B25" s="1363" t="s">
        <v>2065</v>
      </c>
      <c r="C25" s="1310"/>
      <c r="D25" s="1311"/>
      <c r="E25" s="1311"/>
      <c r="F25" s="1311"/>
      <c r="G25" s="1307"/>
      <c r="H25" s="1296"/>
      <c r="I25" s="1296"/>
      <c r="J25" s="442"/>
    </row>
    <row r="26" spans="1:13" s="616" customFormat="1" ht="15.75" x14ac:dyDescent="0.25">
      <c r="A26" s="1300"/>
      <c r="B26" s="1285"/>
      <c r="C26" s="403"/>
      <c r="D26" s="1297" t="s">
        <v>22</v>
      </c>
      <c r="E26" s="1297" t="s">
        <v>21</v>
      </c>
      <c r="F26" s="1297" t="s">
        <v>20</v>
      </c>
      <c r="G26" s="403"/>
      <c r="H26" s="1296"/>
      <c r="I26" s="1296"/>
      <c r="J26" s="442"/>
    </row>
    <row r="27" spans="1:13" s="442" customFormat="1" ht="21.6" customHeight="1" x14ac:dyDescent="0.2">
      <c r="A27" s="438">
        <v>2.1</v>
      </c>
      <c r="B27" s="99" t="s">
        <v>2066</v>
      </c>
      <c r="C27" s="709" t="s">
        <v>241</v>
      </c>
      <c r="D27" s="1306"/>
      <c r="E27" s="1382"/>
      <c r="F27" s="1382"/>
      <c r="G27" s="709" t="s">
        <v>241</v>
      </c>
      <c r="K27" s="616"/>
      <c r="L27" s="616"/>
      <c r="M27" s="616"/>
    </row>
    <row r="28" spans="1:13" s="442" customFormat="1" ht="21.6" customHeight="1" x14ac:dyDescent="0.2">
      <c r="A28" s="1308">
        <v>2.2000000000000002</v>
      </c>
      <c r="B28" s="28" t="s">
        <v>2067</v>
      </c>
      <c r="C28" s="1377" t="s">
        <v>241</v>
      </c>
      <c r="D28" s="1312"/>
      <c r="E28" s="1383"/>
      <c r="F28" s="1383"/>
      <c r="G28" s="1377" t="s">
        <v>241</v>
      </c>
      <c r="H28" s="441"/>
      <c r="I28" s="1296"/>
      <c r="K28" s="616"/>
      <c r="L28" s="616"/>
      <c r="M28" s="616"/>
    </row>
    <row r="29" spans="1:13" s="442" customFormat="1" x14ac:dyDescent="0.2">
      <c r="A29" s="1286"/>
      <c r="B29" s="616"/>
    </row>
    <row r="30" spans="1:13" s="442" customFormat="1" x14ac:dyDescent="0.2">
      <c r="A30" s="1286"/>
      <c r="B30" s="616"/>
      <c r="C30" s="616"/>
      <c r="D30" s="616"/>
      <c r="E30" s="616"/>
      <c r="F30" s="616"/>
    </row>
    <row r="31" spans="1:13" s="616" customFormat="1" x14ac:dyDescent="0.2">
      <c r="A31" s="421"/>
    </row>
    <row r="32" spans="1:13" s="442" customFormat="1" x14ac:dyDescent="0.2">
      <c r="A32" s="1298"/>
      <c r="B32" s="1299"/>
      <c r="C32" s="685" t="s">
        <v>24</v>
      </c>
      <c r="D32" s="686" t="str">
        <f>F2</f>
        <v>XXXXXX</v>
      </c>
      <c r="E32" s="616"/>
      <c r="F32" s="616"/>
    </row>
    <row r="33" spans="1:6" s="442" customFormat="1" x14ac:dyDescent="0.2">
      <c r="A33" s="1300"/>
      <c r="B33" s="669"/>
      <c r="C33" s="441"/>
      <c r="D33" s="1301" t="str">
        <f>F1</f>
        <v>P_CRSABIS_CRA</v>
      </c>
      <c r="E33" s="616"/>
      <c r="F33" s="616"/>
    </row>
    <row r="34" spans="1:6" s="442" customFormat="1" x14ac:dyDescent="0.2">
      <c r="A34" s="1300"/>
      <c r="B34" s="669"/>
      <c r="C34" s="441"/>
      <c r="D34" s="1301" t="str">
        <f>F3</f>
        <v>DD.MM.YYYY</v>
      </c>
      <c r="E34" s="616"/>
      <c r="F34" s="616"/>
    </row>
    <row r="35" spans="1:6" s="442" customFormat="1" x14ac:dyDescent="0.2">
      <c r="A35" s="1300"/>
      <c r="B35" s="669"/>
      <c r="C35" s="441"/>
      <c r="D35" s="690" t="s">
        <v>1230</v>
      </c>
      <c r="E35" s="616"/>
      <c r="F35" s="616"/>
    </row>
    <row r="36" spans="1:6" s="442" customFormat="1" x14ac:dyDescent="0.2">
      <c r="A36" s="1302"/>
      <c r="B36" s="1303"/>
      <c r="C36" s="1304"/>
      <c r="D36" s="1305"/>
      <c r="E36" s="616"/>
      <c r="F36" s="616"/>
    </row>
    <row r="37" spans="1:6" s="410" customFormat="1" x14ac:dyDescent="0.2">
      <c r="A37" s="411"/>
      <c r="B37" s="454"/>
      <c r="C37" s="407"/>
      <c r="D37" s="407"/>
      <c r="E37" s="407"/>
      <c r="F37" s="407"/>
    </row>
  </sheetData>
  <mergeCells count="2">
    <mergeCell ref="D9:F9"/>
    <mergeCell ref="D10:F10"/>
  </mergeCells>
  <dataValidations count="2">
    <dataValidation type="list" showInputMessage="1" showErrorMessage="1" sqref="D27:D28 D13:F23" xr:uid="{050D7E86-7BD5-4B9D-B12F-6A9CBE75E864}">
      <formula1>"Yes,No"</formula1>
    </dataValidation>
    <dataValidation type="decimal" operator="notEqual" allowBlank="1" showInputMessage="1" showErrorMessage="1" errorTitle="Zahl" error="Hier ist nur ein Zahlenwert erlaubt" sqref="C8" xr:uid="{D18A8D0B-BB47-4852-83CC-848673CE6EDD}">
      <formula1>9.99999999999999</formula1>
    </dataValidation>
  </dataValidations>
  <printOptions gridLines="1" gridLinesSet="0"/>
  <pageMargins left="0.59055118110236227" right="0.59055118110236227" top="0.78740157480314965" bottom="0.39370078740157483" header="0.31496062992125984" footer="0.31496062992125984"/>
  <pageSetup paperSize="9" scale="52" fitToHeight="3" pageOrder="overThenDown" orientation="portrait" r:id="rId1"/>
  <headerFooter alignWithMargins="0">
    <oddFooter>&amp;L&amp;"Arial,Fett"SNB Confidential&amp;C&amp;D&amp;RPage &amp;P</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Tabelle32">
    <tabColor rgb="FF92D050"/>
  </sheetPr>
  <dimension ref="A1:M66"/>
  <sheetViews>
    <sheetView zoomScale="115" zoomScaleNormal="115" workbookViewId="0">
      <selection activeCell="I31" sqref="I31"/>
    </sheetView>
  </sheetViews>
  <sheetFormatPr defaultColWidth="15.42578125" defaultRowHeight="12.75" x14ac:dyDescent="0.2"/>
  <cols>
    <col min="1" max="1" width="9.5703125" style="107" customWidth="1"/>
    <col min="2" max="2" width="74.7109375" style="107" bestFit="1" customWidth="1"/>
    <col min="3" max="6" width="17.42578125" style="107" customWidth="1"/>
    <col min="7" max="7" width="4" style="107" bestFit="1" customWidth="1"/>
    <col min="8" max="8" width="15.42578125" style="107"/>
    <col min="9" max="9" width="30.5703125" style="107" customWidth="1"/>
    <col min="10" max="16384" width="15.42578125" style="107"/>
  </cols>
  <sheetData>
    <row r="1" spans="1:9" ht="25.35" customHeight="1" x14ac:dyDescent="0.2">
      <c r="E1" s="202" t="s">
        <v>100</v>
      </c>
      <c r="F1" s="1045" t="s">
        <v>1261</v>
      </c>
    </row>
    <row r="2" spans="1:9" ht="25.35" customHeight="1" x14ac:dyDescent="0.2">
      <c r="A2" s="860"/>
      <c r="B2" s="860"/>
      <c r="E2" s="202" t="s">
        <v>98</v>
      </c>
      <c r="F2" s="1046" t="s">
        <v>119</v>
      </c>
    </row>
    <row r="3" spans="1:9" ht="25.35" customHeight="1" x14ac:dyDescent="0.2">
      <c r="E3" s="202" t="s">
        <v>96</v>
      </c>
      <c r="F3" s="1047" t="s">
        <v>121</v>
      </c>
    </row>
    <row r="4" spans="1:9" x14ac:dyDescent="0.2">
      <c r="A4" s="860"/>
    </row>
    <row r="5" spans="1:9" ht="14.25" x14ac:dyDescent="0.2">
      <c r="B5" s="106" t="s">
        <v>2250</v>
      </c>
    </row>
    <row r="7" spans="1:9" x14ac:dyDescent="0.2">
      <c r="B7" s="1050"/>
      <c r="G7" s="141"/>
    </row>
    <row r="8" spans="1:9" x14ac:dyDescent="0.2">
      <c r="A8" s="1052"/>
      <c r="B8" s="1052"/>
      <c r="C8" s="1054" t="s">
        <v>274</v>
      </c>
      <c r="D8" s="1054" t="s">
        <v>1269</v>
      </c>
      <c r="E8" s="1054" t="s">
        <v>1270</v>
      </c>
      <c r="F8" s="1054" t="s">
        <v>1271</v>
      </c>
      <c r="G8" s="1055"/>
      <c r="I8" s="860" t="s">
        <v>1960</v>
      </c>
    </row>
    <row r="9" spans="1:9" x14ac:dyDescent="0.2">
      <c r="A9" s="141"/>
      <c r="B9" s="141"/>
      <c r="C9" s="887" t="s">
        <v>22</v>
      </c>
      <c r="D9" s="887" t="s">
        <v>21</v>
      </c>
      <c r="E9" s="887" t="s">
        <v>20</v>
      </c>
      <c r="F9" s="887" t="s">
        <v>19</v>
      </c>
      <c r="G9" s="859"/>
      <c r="I9" s="1057" t="str">
        <f>IF(MIN(C11:F54)&lt;0,"ERROR","OK")</f>
        <v>OK</v>
      </c>
    </row>
    <row r="10" spans="1:9" ht="6.6" customHeight="1" x14ac:dyDescent="0.2">
      <c r="A10" s="860"/>
      <c r="C10" s="888"/>
      <c r="D10" s="888"/>
      <c r="E10" s="888"/>
      <c r="F10" s="888"/>
      <c r="G10" s="396"/>
    </row>
    <row r="11" spans="1:9" ht="13.5" thickBot="1" x14ac:dyDescent="0.25">
      <c r="A11" s="1413">
        <v>1</v>
      </c>
      <c r="B11" s="1414" t="s">
        <v>341</v>
      </c>
      <c r="C11" s="1454">
        <f>SUM(C12,C38,C46)</f>
        <v>825</v>
      </c>
      <c r="D11" s="898"/>
      <c r="E11" s="898"/>
      <c r="F11" s="898"/>
      <c r="G11" s="396" t="s">
        <v>241</v>
      </c>
    </row>
    <row r="12" spans="1:9" ht="14.25" thickTop="1" thickBot="1" x14ac:dyDescent="0.25">
      <c r="A12" s="1413">
        <v>1.1000000000000001</v>
      </c>
      <c r="B12" s="1414" t="s">
        <v>2219</v>
      </c>
      <c r="C12" s="1455">
        <f>MAX(C13,C21,C29)</f>
        <v>693</v>
      </c>
      <c r="D12" s="899"/>
      <c r="E12" s="899"/>
      <c r="F12" s="899"/>
      <c r="G12" s="396" t="s">
        <v>241</v>
      </c>
    </row>
    <row r="13" spans="1:9" ht="14.25" thickTop="1" thickBot="1" x14ac:dyDescent="0.25">
      <c r="A13" s="1413" t="s">
        <v>1517</v>
      </c>
      <c r="B13" s="1415" t="s">
        <v>1273</v>
      </c>
      <c r="C13" s="1456">
        <f>SUM(C14:C20)</f>
        <v>273</v>
      </c>
      <c r="D13" s="1456">
        <f>SUM(D14:D20)</f>
        <v>91</v>
      </c>
      <c r="E13" s="1456">
        <f>SUM(E14:E20)</f>
        <v>91</v>
      </c>
      <c r="F13" s="1456">
        <f>SUM(F14:F20)</f>
        <v>91</v>
      </c>
      <c r="G13" s="396"/>
    </row>
    <row r="14" spans="1:9" ht="14.25" thickTop="1" thickBot="1" x14ac:dyDescent="0.25">
      <c r="A14" s="1416" t="s">
        <v>361</v>
      </c>
      <c r="B14" s="1417" t="s">
        <v>1262</v>
      </c>
      <c r="C14" s="1457">
        <f>SUM(D14:F14)</f>
        <v>30</v>
      </c>
      <c r="D14" s="1458">
        <v>10</v>
      </c>
      <c r="E14" s="1458">
        <v>10</v>
      </c>
      <c r="F14" s="1458">
        <v>10</v>
      </c>
      <c r="G14" s="396" t="s">
        <v>241</v>
      </c>
    </row>
    <row r="15" spans="1:9" ht="14.25" thickTop="1" thickBot="1" x14ac:dyDescent="0.25">
      <c r="A15" s="1416" t="s">
        <v>1522</v>
      </c>
      <c r="B15" s="1417" t="s">
        <v>1254</v>
      </c>
      <c r="C15" s="1457">
        <f t="shared" ref="C15:C20" si="0">SUM(D15:F15)</f>
        <v>33</v>
      </c>
      <c r="D15" s="1458">
        <v>11</v>
      </c>
      <c r="E15" s="1458">
        <v>11</v>
      </c>
      <c r="F15" s="1458">
        <v>11</v>
      </c>
      <c r="G15" s="396" t="s">
        <v>241</v>
      </c>
    </row>
    <row r="16" spans="1:9" ht="14.25" thickTop="1" thickBot="1" x14ac:dyDescent="0.25">
      <c r="A16" s="1416" t="s">
        <v>365</v>
      </c>
      <c r="B16" s="1417" t="s">
        <v>1263</v>
      </c>
      <c r="C16" s="1457">
        <f t="shared" si="0"/>
        <v>36</v>
      </c>
      <c r="D16" s="1458">
        <v>12</v>
      </c>
      <c r="E16" s="1458">
        <v>12</v>
      </c>
      <c r="F16" s="1458">
        <v>12</v>
      </c>
      <c r="G16" s="396" t="s">
        <v>241</v>
      </c>
    </row>
    <row r="17" spans="1:7" ht="14.25" thickTop="1" thickBot="1" x14ac:dyDescent="0.25">
      <c r="A17" s="1416" t="s">
        <v>367</v>
      </c>
      <c r="B17" s="1417" t="s">
        <v>1264</v>
      </c>
      <c r="C17" s="1457">
        <f t="shared" si="0"/>
        <v>39</v>
      </c>
      <c r="D17" s="1458">
        <v>13</v>
      </c>
      <c r="E17" s="1458">
        <v>13</v>
      </c>
      <c r="F17" s="1458">
        <v>13</v>
      </c>
      <c r="G17" s="396" t="s">
        <v>241</v>
      </c>
    </row>
    <row r="18" spans="1:7" ht="14.25" thickTop="1" thickBot="1" x14ac:dyDescent="0.25">
      <c r="A18" s="1416" t="s">
        <v>1912</v>
      </c>
      <c r="B18" s="1417" t="s">
        <v>1265</v>
      </c>
      <c r="C18" s="1457">
        <f t="shared" si="0"/>
        <v>42</v>
      </c>
      <c r="D18" s="1458">
        <v>14</v>
      </c>
      <c r="E18" s="1458">
        <v>14</v>
      </c>
      <c r="F18" s="1458">
        <v>14</v>
      </c>
      <c r="G18" s="396" t="s">
        <v>241</v>
      </c>
    </row>
    <row r="19" spans="1:7" ht="14.25" thickTop="1" thickBot="1" x14ac:dyDescent="0.25">
      <c r="A19" s="1416" t="s">
        <v>1913</v>
      </c>
      <c r="B19" s="1417" t="s">
        <v>1266</v>
      </c>
      <c r="C19" s="1457">
        <f t="shared" si="0"/>
        <v>45</v>
      </c>
      <c r="D19" s="1458">
        <v>15</v>
      </c>
      <c r="E19" s="1458">
        <v>15</v>
      </c>
      <c r="F19" s="1458">
        <v>15</v>
      </c>
      <c r="G19" s="396" t="s">
        <v>241</v>
      </c>
    </row>
    <row r="20" spans="1:7" ht="14.25" thickTop="1" thickBot="1" x14ac:dyDescent="0.25">
      <c r="A20" s="1416" t="s">
        <v>1914</v>
      </c>
      <c r="B20" s="1417" t="s">
        <v>1267</v>
      </c>
      <c r="C20" s="1457">
        <f t="shared" si="0"/>
        <v>48</v>
      </c>
      <c r="D20" s="1458">
        <v>16</v>
      </c>
      <c r="E20" s="1458">
        <v>16</v>
      </c>
      <c r="F20" s="1458">
        <v>16</v>
      </c>
      <c r="G20" s="396" t="s">
        <v>241</v>
      </c>
    </row>
    <row r="21" spans="1:7" ht="14.25" thickTop="1" thickBot="1" x14ac:dyDescent="0.25">
      <c r="A21" s="1413" t="s">
        <v>1525</v>
      </c>
      <c r="B21" s="1415" t="s">
        <v>1274</v>
      </c>
      <c r="C21" s="1456">
        <f>SUM(C22:C28)</f>
        <v>483</v>
      </c>
      <c r="D21" s="1456">
        <f>SUM(D22:D28)</f>
        <v>161</v>
      </c>
      <c r="E21" s="1456">
        <f>SUM(E22:E28)</f>
        <v>161</v>
      </c>
      <c r="F21" s="1456">
        <f>SUM(F22:F28)</f>
        <v>161</v>
      </c>
      <c r="G21" s="396"/>
    </row>
    <row r="22" spans="1:7" ht="14.25" thickTop="1" thickBot="1" x14ac:dyDescent="0.25">
      <c r="A22" s="1416" t="s">
        <v>508</v>
      </c>
      <c r="B22" s="1417" t="s">
        <v>1262</v>
      </c>
      <c r="C22" s="1457">
        <f>SUM(D22:F22)</f>
        <v>60</v>
      </c>
      <c r="D22" s="1458">
        <v>20</v>
      </c>
      <c r="E22" s="1458">
        <v>20</v>
      </c>
      <c r="F22" s="1458">
        <v>20</v>
      </c>
      <c r="G22" s="396" t="s">
        <v>241</v>
      </c>
    </row>
    <row r="23" spans="1:7" ht="14.25" thickTop="1" thickBot="1" x14ac:dyDescent="0.25">
      <c r="A23" s="1416" t="s">
        <v>510</v>
      </c>
      <c r="B23" s="1417" t="s">
        <v>1254</v>
      </c>
      <c r="C23" s="1457">
        <f t="shared" ref="C23:C28" si="1">SUM(D23:F23)</f>
        <v>63</v>
      </c>
      <c r="D23" s="1458">
        <v>21</v>
      </c>
      <c r="E23" s="1458">
        <v>21</v>
      </c>
      <c r="F23" s="1458">
        <v>21</v>
      </c>
      <c r="G23" s="396" t="s">
        <v>241</v>
      </c>
    </row>
    <row r="24" spans="1:7" ht="14.25" thickTop="1" thickBot="1" x14ac:dyDescent="0.25">
      <c r="A24" s="1416" t="s">
        <v>1961</v>
      </c>
      <c r="B24" s="1417" t="s">
        <v>1263</v>
      </c>
      <c r="C24" s="1457">
        <f t="shared" si="1"/>
        <v>66</v>
      </c>
      <c r="D24" s="1458">
        <v>22</v>
      </c>
      <c r="E24" s="1458">
        <v>22</v>
      </c>
      <c r="F24" s="1458">
        <v>22</v>
      </c>
      <c r="G24" s="396" t="s">
        <v>241</v>
      </c>
    </row>
    <row r="25" spans="1:7" ht="14.25" thickTop="1" thickBot="1" x14ac:dyDescent="0.25">
      <c r="A25" s="1416" t="s">
        <v>514</v>
      </c>
      <c r="B25" s="1417" t="s">
        <v>1264</v>
      </c>
      <c r="C25" s="1457">
        <f t="shared" si="1"/>
        <v>69</v>
      </c>
      <c r="D25" s="1458">
        <v>23</v>
      </c>
      <c r="E25" s="1458">
        <v>23</v>
      </c>
      <c r="F25" s="1458">
        <v>23</v>
      </c>
      <c r="G25" s="396" t="s">
        <v>241</v>
      </c>
    </row>
    <row r="26" spans="1:7" ht="14.25" thickTop="1" thickBot="1" x14ac:dyDescent="0.25">
      <c r="A26" s="1416" t="s">
        <v>516</v>
      </c>
      <c r="B26" s="1417" t="s">
        <v>1265</v>
      </c>
      <c r="C26" s="1457">
        <f t="shared" si="1"/>
        <v>72</v>
      </c>
      <c r="D26" s="1458">
        <v>24</v>
      </c>
      <c r="E26" s="1458">
        <v>24</v>
      </c>
      <c r="F26" s="1458">
        <v>24</v>
      </c>
      <c r="G26" s="396" t="s">
        <v>241</v>
      </c>
    </row>
    <row r="27" spans="1:7" ht="14.25" thickTop="1" thickBot="1" x14ac:dyDescent="0.25">
      <c r="A27" s="1416" t="s">
        <v>1962</v>
      </c>
      <c r="B27" s="1417" t="s">
        <v>1266</v>
      </c>
      <c r="C27" s="1457">
        <f t="shared" si="1"/>
        <v>75</v>
      </c>
      <c r="D27" s="1458">
        <v>25</v>
      </c>
      <c r="E27" s="1458">
        <v>25</v>
      </c>
      <c r="F27" s="1458">
        <v>25</v>
      </c>
      <c r="G27" s="396" t="s">
        <v>241</v>
      </c>
    </row>
    <row r="28" spans="1:7" ht="14.25" thickTop="1" thickBot="1" x14ac:dyDescent="0.25">
      <c r="A28" s="1416" t="s">
        <v>520</v>
      </c>
      <c r="B28" s="1417" t="s">
        <v>1267</v>
      </c>
      <c r="C28" s="1457">
        <f t="shared" si="1"/>
        <v>78</v>
      </c>
      <c r="D28" s="1458">
        <v>26</v>
      </c>
      <c r="E28" s="1458">
        <v>26</v>
      </c>
      <c r="F28" s="1458">
        <v>26</v>
      </c>
      <c r="G28" s="396" t="s">
        <v>241</v>
      </c>
    </row>
    <row r="29" spans="1:7" ht="14.25" thickTop="1" thickBot="1" x14ac:dyDescent="0.25">
      <c r="A29" s="1413" t="s">
        <v>1618</v>
      </c>
      <c r="B29" s="1415" t="s">
        <v>1275</v>
      </c>
      <c r="C29" s="1456">
        <f>SUM(C30:C36)</f>
        <v>693</v>
      </c>
      <c r="D29" s="1456">
        <f>SUM(D30:D36)</f>
        <v>231</v>
      </c>
      <c r="E29" s="1456">
        <f>SUM(E30:E36)</f>
        <v>231</v>
      </c>
      <c r="F29" s="1456">
        <f>SUM(F30:F36)</f>
        <v>231</v>
      </c>
      <c r="G29" s="396"/>
    </row>
    <row r="30" spans="1:7" ht="14.25" thickTop="1" thickBot="1" x14ac:dyDescent="0.25">
      <c r="A30" s="1416" t="s">
        <v>1915</v>
      </c>
      <c r="B30" s="1417" t="s">
        <v>1262</v>
      </c>
      <c r="C30" s="1457">
        <f>SUM(D30:F30)</f>
        <v>90</v>
      </c>
      <c r="D30" s="1458">
        <v>30</v>
      </c>
      <c r="E30" s="1458">
        <v>30</v>
      </c>
      <c r="F30" s="1458">
        <v>30</v>
      </c>
      <c r="G30" s="396" t="s">
        <v>241</v>
      </c>
    </row>
    <row r="31" spans="1:7" ht="14.25" thickTop="1" thickBot="1" x14ac:dyDescent="0.25">
      <c r="A31" s="1416" t="s">
        <v>1916</v>
      </c>
      <c r="B31" s="1417" t="s">
        <v>1254</v>
      </c>
      <c r="C31" s="1457">
        <f t="shared" ref="C31:C36" si="2">SUM(D31:F31)</f>
        <v>93</v>
      </c>
      <c r="D31" s="1458">
        <v>31</v>
      </c>
      <c r="E31" s="1458">
        <v>31</v>
      </c>
      <c r="F31" s="1458">
        <v>31</v>
      </c>
      <c r="G31" s="396" t="s">
        <v>241</v>
      </c>
    </row>
    <row r="32" spans="1:7" ht="14.25" thickTop="1" thickBot="1" x14ac:dyDescent="0.25">
      <c r="A32" s="1416" t="s">
        <v>1917</v>
      </c>
      <c r="B32" s="1417" t="s">
        <v>1263</v>
      </c>
      <c r="C32" s="1457">
        <f t="shared" si="2"/>
        <v>96</v>
      </c>
      <c r="D32" s="1458">
        <v>32</v>
      </c>
      <c r="E32" s="1458">
        <v>32</v>
      </c>
      <c r="F32" s="1458">
        <v>32</v>
      </c>
      <c r="G32" s="396" t="s">
        <v>241</v>
      </c>
    </row>
    <row r="33" spans="1:7" ht="14.25" thickTop="1" thickBot="1" x14ac:dyDescent="0.25">
      <c r="A33" s="1416" t="s">
        <v>1918</v>
      </c>
      <c r="B33" s="1417" t="s">
        <v>1264</v>
      </c>
      <c r="C33" s="1457">
        <f t="shared" si="2"/>
        <v>99</v>
      </c>
      <c r="D33" s="1458">
        <v>33</v>
      </c>
      <c r="E33" s="1458">
        <v>33</v>
      </c>
      <c r="F33" s="1458">
        <v>33</v>
      </c>
      <c r="G33" s="396" t="s">
        <v>241</v>
      </c>
    </row>
    <row r="34" spans="1:7" ht="14.25" thickTop="1" thickBot="1" x14ac:dyDescent="0.25">
      <c r="A34" s="1416" t="s">
        <v>1919</v>
      </c>
      <c r="B34" s="1417" t="s">
        <v>1265</v>
      </c>
      <c r="C34" s="1457">
        <f t="shared" si="2"/>
        <v>102</v>
      </c>
      <c r="D34" s="1458">
        <v>34</v>
      </c>
      <c r="E34" s="1458">
        <v>34</v>
      </c>
      <c r="F34" s="1458">
        <v>34</v>
      </c>
      <c r="G34" s="396" t="s">
        <v>241</v>
      </c>
    </row>
    <row r="35" spans="1:7" ht="14.25" thickTop="1" thickBot="1" x14ac:dyDescent="0.25">
      <c r="A35" s="1416" t="s">
        <v>1920</v>
      </c>
      <c r="B35" s="1417" t="s">
        <v>1266</v>
      </c>
      <c r="C35" s="1457">
        <f t="shared" si="2"/>
        <v>105</v>
      </c>
      <c r="D35" s="1458">
        <v>35</v>
      </c>
      <c r="E35" s="1458">
        <v>35</v>
      </c>
      <c r="F35" s="1458">
        <v>35</v>
      </c>
      <c r="G35" s="396" t="s">
        <v>241</v>
      </c>
    </row>
    <row r="36" spans="1:7" ht="14.25" thickTop="1" thickBot="1" x14ac:dyDescent="0.25">
      <c r="A36" s="1416" t="s">
        <v>1921</v>
      </c>
      <c r="B36" s="1417" t="s">
        <v>1267</v>
      </c>
      <c r="C36" s="1457">
        <f t="shared" si="2"/>
        <v>108</v>
      </c>
      <c r="D36" s="1458">
        <v>36</v>
      </c>
      <c r="E36" s="1458">
        <v>36</v>
      </c>
      <c r="F36" s="1458">
        <v>36</v>
      </c>
      <c r="G36" s="396" t="s">
        <v>241</v>
      </c>
    </row>
    <row r="37" spans="1:7" ht="3.75" customHeight="1" thickTop="1" x14ac:dyDescent="0.2">
      <c r="A37" s="1416"/>
      <c r="B37" s="1417"/>
      <c r="C37" s="1458"/>
      <c r="D37" s="888"/>
      <c r="E37" s="888"/>
      <c r="F37" s="888"/>
      <c r="G37" s="396"/>
    </row>
    <row r="38" spans="1:7" ht="13.5" thickBot="1" x14ac:dyDescent="0.25">
      <c r="A38" s="1413">
        <v>1.2</v>
      </c>
      <c r="B38" s="1414" t="s">
        <v>1276</v>
      </c>
      <c r="C38" s="1455">
        <f>SUM(C39,C43,C44)</f>
        <v>60</v>
      </c>
      <c r="D38" s="889"/>
      <c r="E38" s="889"/>
      <c r="F38" s="889"/>
      <c r="G38" s="396" t="s">
        <v>241</v>
      </c>
    </row>
    <row r="39" spans="1:7" ht="14.25" thickTop="1" thickBot="1" x14ac:dyDescent="0.25">
      <c r="A39" s="1416" t="s">
        <v>554</v>
      </c>
      <c r="B39" s="1417" t="s">
        <v>1277</v>
      </c>
      <c r="C39" s="1457">
        <f>SUM(C40,C41,C42)</f>
        <v>33</v>
      </c>
      <c r="D39" s="889"/>
      <c r="E39" s="889"/>
      <c r="F39" s="889"/>
      <c r="G39" s="396"/>
    </row>
    <row r="40" spans="1:7" ht="13.5" thickTop="1" x14ac:dyDescent="0.2">
      <c r="A40" s="1418" t="s">
        <v>557</v>
      </c>
      <c r="B40" s="1419" t="s">
        <v>1278</v>
      </c>
      <c r="C40" s="1458">
        <v>10</v>
      </c>
      <c r="D40" s="889"/>
      <c r="E40" s="889"/>
      <c r="F40" s="889"/>
      <c r="G40" s="396" t="s">
        <v>241</v>
      </c>
    </row>
    <row r="41" spans="1:7" x14ac:dyDescent="0.2">
      <c r="A41" s="1418" t="s">
        <v>1530</v>
      </c>
      <c r="B41" s="1419" t="s">
        <v>95</v>
      </c>
      <c r="C41" s="1458">
        <v>11</v>
      </c>
      <c r="D41" s="889"/>
      <c r="E41" s="889"/>
      <c r="F41" s="889"/>
      <c r="G41" s="396" t="s">
        <v>241</v>
      </c>
    </row>
    <row r="42" spans="1:7" x14ac:dyDescent="0.2">
      <c r="A42" s="1418" t="s">
        <v>1922</v>
      </c>
      <c r="B42" s="1419" t="s">
        <v>1279</v>
      </c>
      <c r="C42" s="1458">
        <v>12</v>
      </c>
      <c r="D42" s="889"/>
      <c r="E42" s="889"/>
      <c r="F42" s="889"/>
      <c r="G42" s="396" t="s">
        <v>241</v>
      </c>
    </row>
    <row r="43" spans="1:7" x14ac:dyDescent="0.2">
      <c r="A43" s="1418" t="s">
        <v>559</v>
      </c>
      <c r="B43" s="1420" t="s">
        <v>1280</v>
      </c>
      <c r="C43" s="1458">
        <v>13</v>
      </c>
      <c r="D43" s="889"/>
      <c r="E43" s="889"/>
      <c r="F43" s="889"/>
      <c r="G43" s="396" t="s">
        <v>241</v>
      </c>
    </row>
    <row r="44" spans="1:7" x14ac:dyDescent="0.2">
      <c r="A44" s="1418" t="s">
        <v>1330</v>
      </c>
      <c r="B44" s="1420" t="s">
        <v>1281</v>
      </c>
      <c r="C44" s="1458">
        <v>14</v>
      </c>
      <c r="D44" s="889"/>
      <c r="E44" s="889"/>
      <c r="F44" s="889"/>
      <c r="G44" s="396" t="s">
        <v>241</v>
      </c>
    </row>
    <row r="45" spans="1:7" ht="6.6" customHeight="1" x14ac:dyDescent="0.2">
      <c r="A45" s="1418"/>
      <c r="B45" s="1420"/>
      <c r="C45" s="1458"/>
      <c r="D45" s="888"/>
      <c r="E45" s="888"/>
      <c r="F45" s="888"/>
      <c r="G45" s="396"/>
    </row>
    <row r="46" spans="1:7" ht="13.5" thickBot="1" x14ac:dyDescent="0.25">
      <c r="A46" s="1421">
        <v>1.3</v>
      </c>
      <c r="B46" s="1414" t="s">
        <v>1268</v>
      </c>
      <c r="C46" s="1455">
        <f>SUM(C47,C48)</f>
        <v>72</v>
      </c>
      <c r="D46" s="889"/>
      <c r="E46" s="889"/>
      <c r="F46" s="889"/>
      <c r="G46" s="396" t="s">
        <v>241</v>
      </c>
    </row>
    <row r="47" spans="1:7" ht="13.5" thickTop="1" x14ac:dyDescent="0.2">
      <c r="A47" s="1421" t="s">
        <v>610</v>
      </c>
      <c r="B47" s="1414" t="s">
        <v>2216</v>
      </c>
      <c r="C47" s="1459">
        <v>9</v>
      </c>
      <c r="D47" s="889"/>
      <c r="E47" s="889"/>
      <c r="F47" s="889"/>
      <c r="G47" s="396" t="s">
        <v>241</v>
      </c>
    </row>
    <row r="48" spans="1:7" ht="13.5" thickBot="1" x14ac:dyDescent="0.25">
      <c r="A48" s="1421" t="s">
        <v>616</v>
      </c>
      <c r="B48" s="1414" t="s">
        <v>2217</v>
      </c>
      <c r="C48" s="1460">
        <f>SUM(C50:C54)</f>
        <v>63</v>
      </c>
      <c r="D48" s="889"/>
      <c r="E48" s="889"/>
      <c r="F48" s="889"/>
      <c r="G48" s="396"/>
    </row>
    <row r="49" spans="1:13" ht="14.25" thickTop="1" thickBot="1" x14ac:dyDescent="0.25">
      <c r="A49" s="1418" t="s">
        <v>618</v>
      </c>
      <c r="B49" s="1420" t="s">
        <v>1975</v>
      </c>
      <c r="C49" s="1460">
        <f>SUM(C50:C51)</f>
        <v>27</v>
      </c>
      <c r="D49" s="889"/>
      <c r="E49" s="889"/>
      <c r="F49" s="889"/>
      <c r="G49" s="396" t="s">
        <v>241</v>
      </c>
    </row>
    <row r="50" spans="1:13" ht="13.5" thickTop="1" x14ac:dyDescent="0.2">
      <c r="A50" s="1418" t="s">
        <v>1973</v>
      </c>
      <c r="B50" s="1419" t="s">
        <v>2218</v>
      </c>
      <c r="C50" s="1458">
        <v>16</v>
      </c>
      <c r="D50" s="889"/>
      <c r="E50" s="889"/>
      <c r="F50" s="889"/>
      <c r="G50" s="396" t="s">
        <v>241</v>
      </c>
    </row>
    <row r="51" spans="1:13" x14ac:dyDescent="0.2">
      <c r="A51" s="1418" t="s">
        <v>1974</v>
      </c>
      <c r="B51" s="1419" t="s">
        <v>1958</v>
      </c>
      <c r="C51" s="1458">
        <v>11</v>
      </c>
      <c r="D51" s="889"/>
      <c r="E51" s="889"/>
      <c r="F51" s="889"/>
      <c r="G51" s="396" t="s">
        <v>241</v>
      </c>
    </row>
    <row r="52" spans="1:13" x14ac:dyDescent="0.2">
      <c r="A52" s="1418" t="s">
        <v>620</v>
      </c>
      <c r="B52" s="1420" t="s">
        <v>1976</v>
      </c>
      <c r="C52" s="1458">
        <v>10</v>
      </c>
      <c r="D52" s="889"/>
      <c r="E52" s="889"/>
      <c r="F52" s="889"/>
      <c r="G52" s="396" t="s">
        <v>241</v>
      </c>
    </row>
    <row r="53" spans="1:13" x14ac:dyDescent="0.2">
      <c r="A53" s="1418" t="s">
        <v>1923</v>
      </c>
      <c r="B53" s="1420" t="s">
        <v>1977</v>
      </c>
      <c r="C53" s="1458">
        <v>12</v>
      </c>
      <c r="D53" s="889"/>
      <c r="E53" s="889"/>
      <c r="F53" s="889"/>
      <c r="G53" s="396" t="s">
        <v>241</v>
      </c>
    </row>
    <row r="54" spans="1:13" x14ac:dyDescent="0.2">
      <c r="A54" s="1418" t="s">
        <v>1959</v>
      </c>
      <c r="B54" s="1420" t="s">
        <v>1971</v>
      </c>
      <c r="C54" s="1458">
        <v>14</v>
      </c>
      <c r="D54" s="889"/>
      <c r="E54" s="889"/>
      <c r="F54" s="889"/>
      <c r="G54" s="396" t="s">
        <v>241</v>
      </c>
    </row>
    <row r="55" spans="1:13" ht="3.75" customHeight="1" x14ac:dyDescent="0.2">
      <c r="A55" s="12"/>
      <c r="B55" s="12"/>
      <c r="C55" s="28"/>
      <c r="D55" s="28"/>
      <c r="E55" s="28"/>
      <c r="F55" s="28"/>
      <c r="G55" s="28"/>
      <c r="M55" s="1172"/>
    </row>
    <row r="56" spans="1:13" x14ac:dyDescent="0.2">
      <c r="A56" s="1172"/>
      <c r="B56" s="26" t="str">
        <f>"Version: "&amp;D63</f>
        <v>Version: 2.00.E1</v>
      </c>
      <c r="C56" s="1172"/>
      <c r="D56" s="1172"/>
      <c r="E56" s="1172"/>
      <c r="F56" s="1172"/>
      <c r="G56" s="1172" t="s">
        <v>25</v>
      </c>
      <c r="M56" s="1172"/>
    </row>
    <row r="60" spans="1:13" x14ac:dyDescent="0.2">
      <c r="A60" s="21"/>
      <c r="B60" s="237"/>
      <c r="C60" s="20" t="s">
        <v>24</v>
      </c>
      <c r="D60" s="19" t="str">
        <f>F2</f>
        <v>XXXXXX</v>
      </c>
    </row>
    <row r="61" spans="1:13" x14ac:dyDescent="0.2">
      <c r="A61" s="15"/>
      <c r="B61" s="61"/>
      <c r="C61" s="9"/>
      <c r="D61" s="239" t="str">
        <f>F1</f>
        <v>P_MKR_BIS_SA</v>
      </c>
    </row>
    <row r="62" spans="1:13" x14ac:dyDescent="0.2">
      <c r="A62" s="15"/>
      <c r="B62" s="61"/>
      <c r="C62" s="9"/>
      <c r="D62" s="239" t="str">
        <f>F3</f>
        <v>DD.MM.YYYY</v>
      </c>
    </row>
    <row r="63" spans="1:13" x14ac:dyDescent="0.2">
      <c r="A63" s="15"/>
      <c r="B63" s="61"/>
      <c r="C63" s="9"/>
      <c r="D63" s="16" t="s">
        <v>248</v>
      </c>
    </row>
    <row r="64" spans="1:13" x14ac:dyDescent="0.2">
      <c r="A64" s="15"/>
      <c r="B64" s="61"/>
      <c r="C64" s="9"/>
      <c r="D64" s="929">
        <f>I30</f>
        <v>0</v>
      </c>
    </row>
    <row r="65" spans="1:4" x14ac:dyDescent="0.2">
      <c r="A65" s="15"/>
      <c r="B65" s="61"/>
      <c r="C65" s="9"/>
      <c r="D65" s="1174">
        <f>COUNTIF(I9:I54,"ERROR")</f>
        <v>0</v>
      </c>
    </row>
    <row r="66" spans="1:4" x14ac:dyDescent="0.2">
      <c r="A66" s="13"/>
      <c r="B66" s="28"/>
      <c r="C66" s="376"/>
      <c r="D66" s="1175">
        <f>COUNTIF(I9:I54,"WARNUNG")</f>
        <v>0</v>
      </c>
    </row>
  </sheetData>
  <phoneticPr fontId="7" type="noConversion"/>
  <printOptions gridLines="1" gridLinesSet="0"/>
  <pageMargins left="0.39370078740157483" right="0.39370078740157483" top="0.39370078740157483" bottom="0.39370078740157483" header="0.31496062992125984" footer="0.31496062992125984"/>
  <pageSetup paperSize="9" scale="62" fitToHeight="2" pageOrder="overThenDown" orientation="portrait" horizontalDpi="4294967292" verticalDpi="4294967292" r:id="rId1"/>
  <headerFooter alignWithMargins="0">
    <oddFooter>&amp;L&amp;"Arial,Fett"SNB Confidential&amp;C&amp;D&amp;RPage &amp;P</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034CA8-7B41-4C93-9123-6C3CBFF3C1E9}">
  <sheetPr>
    <tabColor rgb="FF92D050"/>
  </sheetPr>
  <dimension ref="A1:P49"/>
  <sheetViews>
    <sheetView zoomScale="85" zoomScaleNormal="85" workbookViewId="0">
      <selection activeCell="H47" sqref="H47"/>
    </sheetView>
  </sheetViews>
  <sheetFormatPr defaultColWidth="20.42578125" defaultRowHeight="12.75" x14ac:dyDescent="0.2"/>
  <cols>
    <col min="1" max="1" width="22.5703125" style="1086" customWidth="1"/>
    <col min="2" max="2" width="39.42578125" style="1086" customWidth="1"/>
    <col min="3" max="6" width="16.5703125" style="498" customWidth="1"/>
    <col min="7" max="7" width="4" style="1365" bestFit="1" customWidth="1"/>
    <col min="8" max="12" width="20.42578125" style="1086"/>
    <col min="13" max="13" width="4" style="1086" bestFit="1" customWidth="1"/>
    <col min="14" max="24" width="20.42578125" style="1086"/>
    <col min="25" max="25" width="4" style="1086" bestFit="1" customWidth="1"/>
    <col min="26" max="16384" width="20.42578125" style="1086"/>
  </cols>
  <sheetData>
    <row r="1" spans="1:16" ht="25.35" customHeight="1" x14ac:dyDescent="0.2">
      <c r="E1" s="1085" t="s">
        <v>1283</v>
      </c>
      <c r="I1" s="101" t="s">
        <v>100</v>
      </c>
      <c r="J1" s="1403" t="s">
        <v>1282</v>
      </c>
    </row>
    <row r="2" spans="1:16" ht="25.35" customHeight="1" x14ac:dyDescent="0.2">
      <c r="E2" s="1406" t="s">
        <v>99</v>
      </c>
      <c r="I2" s="101" t="s">
        <v>98</v>
      </c>
      <c r="J2" s="1046" t="s">
        <v>119</v>
      </c>
    </row>
    <row r="3" spans="1:16" ht="25.35" customHeight="1" x14ac:dyDescent="0.2">
      <c r="E3" s="1406" t="s">
        <v>94</v>
      </c>
      <c r="I3" s="101" t="s">
        <v>96</v>
      </c>
      <c r="J3" s="1047" t="s">
        <v>121</v>
      </c>
    </row>
    <row r="5" spans="1:16" ht="14.25" x14ac:dyDescent="0.2">
      <c r="B5" s="106" t="s">
        <v>2250</v>
      </c>
      <c r="C5" s="1086"/>
      <c r="D5" s="1086"/>
      <c r="E5" s="1086"/>
      <c r="F5" s="1086"/>
    </row>
    <row r="6" spans="1:16" x14ac:dyDescent="0.2">
      <c r="C6" s="1086"/>
      <c r="D6" s="1086"/>
      <c r="E6" s="1086"/>
      <c r="F6" s="1086"/>
    </row>
    <row r="7" spans="1:16" x14ac:dyDescent="0.2">
      <c r="B7" s="1050"/>
      <c r="C7" s="1051"/>
      <c r="D7" s="1086"/>
      <c r="E7" s="1086"/>
      <c r="F7" s="1086"/>
      <c r="L7" s="28"/>
      <c r="O7" s="1183"/>
    </row>
    <row r="8" spans="1:16" ht="25.5" x14ac:dyDescent="0.2">
      <c r="A8" s="195"/>
      <c r="B8" s="195"/>
      <c r="C8" s="1053"/>
      <c r="D8" s="195"/>
      <c r="E8" s="195"/>
      <c r="F8" s="195"/>
      <c r="G8" s="88"/>
      <c r="H8" s="890" t="s">
        <v>1300</v>
      </c>
      <c r="I8" s="890" t="s">
        <v>1290</v>
      </c>
      <c r="J8" s="890" t="s">
        <v>1291</v>
      </c>
      <c r="K8" s="890" t="s">
        <v>1292</v>
      </c>
      <c r="L8" s="890" t="s">
        <v>1293</v>
      </c>
      <c r="M8" s="88"/>
      <c r="O8" s="1183"/>
      <c r="P8" s="1183"/>
    </row>
    <row r="9" spans="1:16" x14ac:dyDescent="0.2">
      <c r="A9" s="28"/>
      <c r="B9" s="28"/>
      <c r="C9" s="28"/>
      <c r="D9" s="28"/>
      <c r="E9" s="28"/>
      <c r="F9" s="28"/>
      <c r="G9" s="58"/>
      <c r="H9" s="887" t="s">
        <v>22</v>
      </c>
      <c r="I9" s="887" t="s">
        <v>21</v>
      </c>
      <c r="J9" s="887" t="s">
        <v>20</v>
      </c>
      <c r="K9" s="887" t="s">
        <v>19</v>
      </c>
      <c r="L9" s="887" t="s">
        <v>18</v>
      </c>
      <c r="M9" s="58"/>
      <c r="O9" s="1183"/>
    </row>
    <row r="10" spans="1:16" ht="6.6" customHeight="1" x14ac:dyDescent="0.2">
      <c r="C10" s="1086"/>
      <c r="D10" s="1086"/>
      <c r="E10" s="1086"/>
      <c r="F10" s="1086"/>
      <c r="G10" s="396"/>
      <c r="H10" s="891"/>
      <c r="I10" s="891"/>
      <c r="J10" s="891"/>
      <c r="K10" s="891"/>
      <c r="L10" s="891"/>
      <c r="M10" s="396"/>
    </row>
    <row r="11" spans="1:16" ht="13.5" thickBot="1" x14ac:dyDescent="0.25">
      <c r="A11" s="1408" t="s">
        <v>1306</v>
      </c>
      <c r="B11" s="1727" t="s">
        <v>1301</v>
      </c>
      <c r="C11" s="1727"/>
      <c r="D11" s="1727"/>
      <c r="E11" s="1727"/>
      <c r="F11" s="1727"/>
      <c r="G11" s="396" t="s">
        <v>241</v>
      </c>
      <c r="H11" s="1455">
        <f>MIN(H32+H28,H29) + MAX(0,H33)</f>
        <v>55</v>
      </c>
      <c r="I11" s="894"/>
      <c r="J11" s="894"/>
      <c r="K11" s="894"/>
      <c r="L11" s="894"/>
      <c r="M11" s="396" t="s">
        <v>241</v>
      </c>
      <c r="O11" s="1366"/>
      <c r="P11" s="1366"/>
    </row>
    <row r="12" spans="1:16" ht="15.75" thickTop="1" thickBot="1" x14ac:dyDescent="0.3">
      <c r="A12" s="1408" t="s">
        <v>197</v>
      </c>
      <c r="B12" s="1728" t="s">
        <v>1924</v>
      </c>
      <c r="C12" s="1728"/>
      <c r="D12" s="1728"/>
      <c r="E12" s="1728"/>
      <c r="F12" s="1728"/>
      <c r="G12" s="396" t="s">
        <v>241</v>
      </c>
      <c r="H12" s="1455">
        <f>SUM(H25,H13)</f>
        <v>35</v>
      </c>
      <c r="I12" s="893"/>
      <c r="J12" s="1088"/>
      <c r="K12" s="1088"/>
      <c r="L12" s="1088"/>
      <c r="M12" s="396" t="s">
        <v>241</v>
      </c>
      <c r="O12" s="1366"/>
      <c r="P12" s="1366"/>
    </row>
    <row r="13" spans="1:16" ht="17.25" thickTop="1" thickBot="1" x14ac:dyDescent="0.35">
      <c r="A13" s="1409" t="s">
        <v>1517</v>
      </c>
      <c r="B13" s="1729" t="s">
        <v>1305</v>
      </c>
      <c r="C13" s="1729"/>
      <c r="D13" s="1729"/>
      <c r="E13" s="1729"/>
      <c r="F13" s="1729"/>
      <c r="G13" s="396" t="s">
        <v>241</v>
      </c>
      <c r="H13" s="1461">
        <f>MAX(I14 + I22, H23*J14 + J22)</f>
        <v>25</v>
      </c>
      <c r="I13" s="893"/>
      <c r="J13" s="1088"/>
      <c r="K13" s="1088"/>
      <c r="L13" s="1088"/>
      <c r="M13" s="396" t="s">
        <v>241</v>
      </c>
      <c r="O13" s="1366"/>
      <c r="P13" s="1366"/>
    </row>
    <row r="14" spans="1:16" ht="14.25" thickTop="1" thickBot="1" x14ac:dyDescent="0.25">
      <c r="A14" s="1410" t="s">
        <v>361</v>
      </c>
      <c r="B14" s="1730" t="s">
        <v>1294</v>
      </c>
      <c r="C14" s="1730"/>
      <c r="D14" s="1730"/>
      <c r="E14" s="1730"/>
      <c r="F14" s="1730"/>
      <c r="G14" s="396" t="s">
        <v>241</v>
      </c>
      <c r="H14" s="892"/>
      <c r="I14" s="1456">
        <f>0.5*I15 + 0.5*I16</f>
        <v>10</v>
      </c>
      <c r="J14" s="1456">
        <f>0.5*I15 + 0.5*I16</f>
        <v>10</v>
      </c>
      <c r="K14" s="1456">
        <f>0.5*J15 + 0.5*J16</f>
        <v>10</v>
      </c>
      <c r="L14" s="1456">
        <f>0.5*K15 + 0.5*K16</f>
        <v>10</v>
      </c>
      <c r="M14" s="396" t="s">
        <v>241</v>
      </c>
      <c r="O14" s="1057" t="str">
        <f>IF(J14&lt;=K14,"OK","ERROR")</f>
        <v>OK</v>
      </c>
      <c r="P14" s="1057" t="str">
        <f>IF(J14&gt;=L14,"OK","ERROR")</f>
        <v>OK</v>
      </c>
    </row>
    <row r="15" spans="1:16" ht="13.5" thickTop="1" x14ac:dyDescent="0.2">
      <c r="A15" s="1411" t="s">
        <v>1520</v>
      </c>
      <c r="B15" s="1726" t="s">
        <v>1284</v>
      </c>
      <c r="C15" s="1726"/>
      <c r="D15" s="1726"/>
      <c r="E15" s="1726"/>
      <c r="F15" s="1726"/>
      <c r="G15" s="396" t="s">
        <v>241</v>
      </c>
      <c r="H15" s="1087"/>
      <c r="I15" s="1459">
        <v>10</v>
      </c>
      <c r="J15" s="1459">
        <v>10</v>
      </c>
      <c r="K15" s="1459">
        <v>10</v>
      </c>
      <c r="L15" s="1459">
        <v>10</v>
      </c>
      <c r="M15" s="396" t="s">
        <v>241</v>
      </c>
      <c r="O15" s="1057" t="str">
        <f t="shared" ref="O15:O22" si="0">IF(J15&lt;=K15,"OK","ERROR")</f>
        <v>OK</v>
      </c>
      <c r="P15" s="1057" t="str">
        <f t="shared" ref="P15:P22" si="1">IF(J15&gt;=L15,"OK","ERROR")</f>
        <v>OK</v>
      </c>
    </row>
    <row r="16" spans="1:16" ht="13.5" thickBot="1" x14ac:dyDescent="0.25">
      <c r="A16" s="1411" t="s">
        <v>2205</v>
      </c>
      <c r="B16" s="1726" t="s">
        <v>1289</v>
      </c>
      <c r="C16" s="1726"/>
      <c r="D16" s="1726"/>
      <c r="E16" s="1726"/>
      <c r="F16" s="1726"/>
      <c r="G16" s="396" t="s">
        <v>241</v>
      </c>
      <c r="H16" s="1087"/>
      <c r="I16" s="1455">
        <f>SUM(I17:I21)</f>
        <v>10</v>
      </c>
      <c r="J16" s="1455">
        <f>SUM(J17:J21)</f>
        <v>10</v>
      </c>
      <c r="K16" s="1459">
        <v>10</v>
      </c>
      <c r="L16" s="1459">
        <v>10</v>
      </c>
      <c r="M16" s="396" t="s">
        <v>241</v>
      </c>
      <c r="O16" s="1057" t="str">
        <f t="shared" si="0"/>
        <v>OK</v>
      </c>
      <c r="P16" s="1057" t="str">
        <f t="shared" si="1"/>
        <v>OK</v>
      </c>
    </row>
    <row r="17" spans="1:16" ht="13.5" thickTop="1" x14ac:dyDescent="0.2">
      <c r="A17" s="1412" t="s">
        <v>2206</v>
      </c>
      <c r="B17" s="1731" t="s">
        <v>1285</v>
      </c>
      <c r="C17" s="1731"/>
      <c r="D17" s="1731"/>
      <c r="E17" s="1731"/>
      <c r="F17" s="1731"/>
      <c r="G17" s="396" t="s">
        <v>241</v>
      </c>
      <c r="H17" s="892"/>
      <c r="I17" s="1458">
        <v>2</v>
      </c>
      <c r="J17" s="1458">
        <v>2</v>
      </c>
      <c r="K17" s="1458">
        <v>10</v>
      </c>
      <c r="L17" s="1458">
        <v>10</v>
      </c>
      <c r="M17" s="396" t="s">
        <v>241</v>
      </c>
      <c r="O17" s="1057" t="str">
        <f t="shared" si="0"/>
        <v>OK</v>
      </c>
      <c r="P17" s="1057" t="str">
        <f t="shared" si="1"/>
        <v>ERROR</v>
      </c>
    </row>
    <row r="18" spans="1:16" x14ac:dyDescent="0.2">
      <c r="A18" s="1412" t="s">
        <v>2207</v>
      </c>
      <c r="B18" s="1731" t="s">
        <v>1286</v>
      </c>
      <c r="C18" s="1731"/>
      <c r="D18" s="1731"/>
      <c r="E18" s="1731"/>
      <c r="F18" s="1731"/>
      <c r="G18" s="396" t="s">
        <v>241</v>
      </c>
      <c r="H18" s="892"/>
      <c r="I18" s="1458">
        <v>2</v>
      </c>
      <c r="J18" s="1458">
        <v>2</v>
      </c>
      <c r="K18" s="1458">
        <v>10</v>
      </c>
      <c r="L18" s="1458">
        <v>10</v>
      </c>
      <c r="M18" s="396" t="s">
        <v>241</v>
      </c>
      <c r="O18" s="1057" t="str">
        <f t="shared" si="0"/>
        <v>OK</v>
      </c>
      <c r="P18" s="1057" t="str">
        <f t="shared" si="1"/>
        <v>ERROR</v>
      </c>
    </row>
    <row r="19" spans="1:16" x14ac:dyDescent="0.2">
      <c r="A19" s="1412" t="s">
        <v>2208</v>
      </c>
      <c r="B19" s="1731" t="s">
        <v>1287</v>
      </c>
      <c r="C19" s="1731"/>
      <c r="D19" s="1731"/>
      <c r="E19" s="1731"/>
      <c r="F19" s="1731"/>
      <c r="G19" s="396" t="s">
        <v>241</v>
      </c>
      <c r="H19" s="892"/>
      <c r="I19" s="1458">
        <v>2</v>
      </c>
      <c r="J19" s="1458">
        <v>2</v>
      </c>
      <c r="K19" s="1458">
        <v>10</v>
      </c>
      <c r="L19" s="1458">
        <v>10</v>
      </c>
      <c r="M19" s="396" t="s">
        <v>241</v>
      </c>
      <c r="O19" s="1057" t="str">
        <f t="shared" si="0"/>
        <v>OK</v>
      </c>
      <c r="P19" s="1057" t="str">
        <f t="shared" si="1"/>
        <v>ERROR</v>
      </c>
    </row>
    <row r="20" spans="1:16" x14ac:dyDescent="0.2">
      <c r="A20" s="1412" t="s">
        <v>2209</v>
      </c>
      <c r="B20" s="1731" t="s">
        <v>1332</v>
      </c>
      <c r="C20" s="1731"/>
      <c r="D20" s="1731"/>
      <c r="E20" s="1731"/>
      <c r="F20" s="1731"/>
      <c r="G20" s="396" t="s">
        <v>241</v>
      </c>
      <c r="H20" s="892"/>
      <c r="I20" s="1458">
        <v>2</v>
      </c>
      <c r="J20" s="1458">
        <v>2</v>
      </c>
      <c r="K20" s="1458">
        <v>10</v>
      </c>
      <c r="L20" s="1458">
        <v>10</v>
      </c>
      <c r="M20" s="396" t="s">
        <v>241</v>
      </c>
      <c r="O20" s="1057" t="str">
        <f t="shared" si="0"/>
        <v>OK</v>
      </c>
      <c r="P20" s="1057" t="str">
        <f t="shared" si="1"/>
        <v>ERROR</v>
      </c>
    </row>
    <row r="21" spans="1:16" x14ac:dyDescent="0.2">
      <c r="A21" s="1412" t="s">
        <v>2210</v>
      </c>
      <c r="B21" s="1731" t="s">
        <v>1288</v>
      </c>
      <c r="C21" s="1731"/>
      <c r="D21" s="1731"/>
      <c r="E21" s="1731"/>
      <c r="F21" s="1731"/>
      <c r="G21" s="396" t="s">
        <v>241</v>
      </c>
      <c r="H21" s="892"/>
      <c r="I21" s="1458">
        <v>2</v>
      </c>
      <c r="J21" s="1458">
        <v>2</v>
      </c>
      <c r="K21" s="1458">
        <v>10</v>
      </c>
      <c r="L21" s="1458">
        <v>10</v>
      </c>
      <c r="M21" s="396" t="s">
        <v>241</v>
      </c>
      <c r="O21" s="1057" t="str">
        <f t="shared" si="0"/>
        <v>OK</v>
      </c>
      <c r="P21" s="1057" t="str">
        <f t="shared" si="1"/>
        <v>ERROR</v>
      </c>
    </row>
    <row r="22" spans="1:16" x14ac:dyDescent="0.2">
      <c r="A22" s="1410" t="s">
        <v>1522</v>
      </c>
      <c r="B22" s="1730" t="s">
        <v>2213</v>
      </c>
      <c r="C22" s="1730"/>
      <c r="D22" s="1730"/>
      <c r="E22" s="1730"/>
      <c r="F22" s="1730"/>
      <c r="G22" s="396" t="s">
        <v>241</v>
      </c>
      <c r="H22" s="892"/>
      <c r="I22" s="1458">
        <v>10</v>
      </c>
      <c r="J22" s="1458">
        <v>10</v>
      </c>
      <c r="K22" s="1458">
        <v>10</v>
      </c>
      <c r="L22" s="1458">
        <v>10</v>
      </c>
      <c r="M22" s="396" t="s">
        <v>241</v>
      </c>
      <c r="O22" s="1057" t="str">
        <f t="shared" si="0"/>
        <v>OK</v>
      </c>
      <c r="P22" s="1057" t="str">
        <f t="shared" si="1"/>
        <v>OK</v>
      </c>
    </row>
    <row r="23" spans="1:16" x14ac:dyDescent="0.2">
      <c r="A23" s="1410" t="s">
        <v>365</v>
      </c>
      <c r="B23" s="1730" t="s">
        <v>1302</v>
      </c>
      <c r="C23" s="1730"/>
      <c r="D23" s="1730"/>
      <c r="E23" s="1730"/>
      <c r="F23" s="1730"/>
      <c r="G23" s="396" t="s">
        <v>241</v>
      </c>
      <c r="H23" s="1459">
        <v>1.5</v>
      </c>
      <c r="I23" s="893"/>
      <c r="J23" s="1088"/>
      <c r="K23" s="1088"/>
      <c r="L23" s="1088"/>
      <c r="M23" s="396" t="s">
        <v>241</v>
      </c>
      <c r="O23" s="1366"/>
      <c r="P23" s="1366"/>
    </row>
    <row r="24" spans="1:16" x14ac:dyDescent="0.2">
      <c r="A24" s="1411" t="s">
        <v>2211</v>
      </c>
      <c r="B24" s="1726" t="s">
        <v>1299</v>
      </c>
      <c r="C24" s="1726"/>
      <c r="D24" s="1726"/>
      <c r="E24" s="1726"/>
      <c r="F24" s="1726"/>
      <c r="G24" s="396" t="s">
        <v>241</v>
      </c>
      <c r="H24" s="1459">
        <v>2</v>
      </c>
      <c r="I24" s="893"/>
      <c r="J24" s="1088"/>
      <c r="K24" s="1088"/>
      <c r="L24" s="1088"/>
      <c r="M24" s="396" t="s">
        <v>241</v>
      </c>
      <c r="O24" s="1366"/>
      <c r="P24" s="1366"/>
    </row>
    <row r="25" spans="1:16" ht="13.5" thickBot="1" x14ac:dyDescent="0.25">
      <c r="A25" s="1409" t="s">
        <v>1525</v>
      </c>
      <c r="B25" s="1729" t="s">
        <v>2214</v>
      </c>
      <c r="C25" s="1729"/>
      <c r="D25" s="1729"/>
      <c r="E25" s="1729"/>
      <c r="F25" s="1729"/>
      <c r="G25" s="396" t="s">
        <v>241</v>
      </c>
      <c r="H25" s="1455">
        <f>MAX(I26, J26)</f>
        <v>10</v>
      </c>
      <c r="I25" s="893"/>
      <c r="J25" s="1088"/>
      <c r="K25" s="1088"/>
      <c r="L25" s="1088"/>
      <c r="M25" s="396" t="s">
        <v>241</v>
      </c>
      <c r="O25" s="1366"/>
      <c r="P25" s="1366"/>
    </row>
    <row r="26" spans="1:16" ht="13.5" thickTop="1" x14ac:dyDescent="0.2">
      <c r="A26" s="1410" t="s">
        <v>508</v>
      </c>
      <c r="B26" s="1730" t="s">
        <v>2215</v>
      </c>
      <c r="C26" s="1730"/>
      <c r="D26" s="1730"/>
      <c r="E26" s="1730"/>
      <c r="F26" s="1730"/>
      <c r="G26" s="396" t="s">
        <v>241</v>
      </c>
      <c r="H26" s="892"/>
      <c r="I26" s="1458">
        <v>10</v>
      </c>
      <c r="J26" s="1458">
        <v>10</v>
      </c>
      <c r="K26" s="1458">
        <v>10</v>
      </c>
      <c r="L26" s="1458">
        <v>10</v>
      </c>
      <c r="M26" s="396" t="s">
        <v>241</v>
      </c>
      <c r="O26" s="1057" t="str">
        <f t="shared" ref="O26" si="2">IF(J26&lt;=K26,"OK","ERROR")</f>
        <v>OK</v>
      </c>
      <c r="P26" s="1057" t="str">
        <f t="shared" ref="P26" si="3">IF(J26&gt;=L26,"OK","ERROR")</f>
        <v>OK</v>
      </c>
    </row>
    <row r="27" spans="1:16" ht="14.25" x14ac:dyDescent="0.25">
      <c r="A27" s="1408" t="s">
        <v>199</v>
      </c>
      <c r="B27" s="1728" t="s">
        <v>1925</v>
      </c>
      <c r="C27" s="1728"/>
      <c r="D27" s="1728"/>
      <c r="E27" s="1728"/>
      <c r="F27" s="1728"/>
      <c r="G27" s="396" t="s">
        <v>241</v>
      </c>
      <c r="H27" s="1459">
        <v>30</v>
      </c>
      <c r="I27" s="893"/>
      <c r="J27" s="1088"/>
      <c r="K27" s="1088"/>
      <c r="L27" s="1088"/>
      <c r="M27" s="396" t="s">
        <v>241</v>
      </c>
      <c r="O27" s="1366"/>
      <c r="P27" s="1366"/>
    </row>
    <row r="28" spans="1:16" x14ac:dyDescent="0.2">
      <c r="A28" s="1408" t="s">
        <v>200</v>
      </c>
      <c r="B28" s="1728" t="s">
        <v>1304</v>
      </c>
      <c r="C28" s="1728"/>
      <c r="D28" s="1728"/>
      <c r="E28" s="1728"/>
      <c r="F28" s="1728"/>
      <c r="G28" s="396" t="s">
        <v>241</v>
      </c>
      <c r="H28" s="1459">
        <v>30</v>
      </c>
      <c r="I28" s="893"/>
      <c r="J28" s="1088"/>
      <c r="K28" s="1088"/>
      <c r="L28" s="1088"/>
      <c r="M28" s="396" t="s">
        <v>241</v>
      </c>
      <c r="O28" s="1366"/>
      <c r="P28" s="1366"/>
    </row>
    <row r="29" spans="1:16" x14ac:dyDescent="0.2">
      <c r="A29" s="1408" t="s">
        <v>201</v>
      </c>
      <c r="B29" s="1728" t="s">
        <v>1298</v>
      </c>
      <c r="C29" s="1728"/>
      <c r="D29" s="1728"/>
      <c r="E29" s="1728"/>
      <c r="F29" s="1728"/>
      <c r="G29" s="396" t="s">
        <v>241</v>
      </c>
      <c r="H29" s="1459">
        <v>50</v>
      </c>
      <c r="I29" s="893"/>
      <c r="J29" s="1088"/>
      <c r="K29" s="1088"/>
      <c r="L29" s="1088"/>
      <c r="M29" s="396" t="s">
        <v>241</v>
      </c>
      <c r="O29" s="1366"/>
      <c r="P29" s="1366"/>
    </row>
    <row r="30" spans="1:16" ht="13.5" thickBot="1" x14ac:dyDescent="0.25">
      <c r="A30" s="1408" t="s">
        <v>1677</v>
      </c>
      <c r="B30" s="1728" t="s">
        <v>1295</v>
      </c>
      <c r="C30" s="1728"/>
      <c r="D30" s="1728"/>
      <c r="E30" s="1728"/>
      <c r="F30" s="1728"/>
      <c r="G30" s="396" t="s">
        <v>241</v>
      </c>
      <c r="H30" s="1455">
        <f>H31*MAX(0,H27-H12)</f>
        <v>0</v>
      </c>
      <c r="I30" s="893"/>
      <c r="J30" s="1088"/>
      <c r="K30" s="1088"/>
      <c r="L30" s="1088"/>
      <c r="M30" s="396" t="s">
        <v>241</v>
      </c>
      <c r="O30" s="1366"/>
      <c r="P30" s="1366"/>
    </row>
    <row r="31" spans="1:16" ht="13.5" thickTop="1" x14ac:dyDescent="0.2">
      <c r="A31" s="1409" t="s">
        <v>1873</v>
      </c>
      <c r="B31" s="1729" t="s">
        <v>1303</v>
      </c>
      <c r="C31" s="1729"/>
      <c r="D31" s="1729"/>
      <c r="E31" s="1729"/>
      <c r="F31" s="1729"/>
      <c r="G31" s="396" t="s">
        <v>241</v>
      </c>
      <c r="H31" s="1459">
        <v>2</v>
      </c>
      <c r="I31" s="893"/>
      <c r="J31" s="1088"/>
      <c r="K31" s="1088"/>
      <c r="L31" s="1088"/>
      <c r="M31" s="396" t="s">
        <v>241</v>
      </c>
      <c r="O31" s="1366"/>
      <c r="P31" s="1366"/>
    </row>
    <row r="32" spans="1:16" ht="13.5" thickBot="1" x14ac:dyDescent="0.25">
      <c r="A32" s="1408" t="s">
        <v>2011</v>
      </c>
      <c r="B32" s="1728" t="s">
        <v>1296</v>
      </c>
      <c r="C32" s="1728"/>
      <c r="D32" s="1728"/>
      <c r="E32" s="1728"/>
      <c r="F32" s="1728"/>
      <c r="G32" s="396" t="s">
        <v>241</v>
      </c>
      <c r="H32" s="1455">
        <f>SUM(H12,H30)</f>
        <v>35</v>
      </c>
      <c r="I32" s="893"/>
      <c r="J32" s="1088"/>
      <c r="K32" s="1088"/>
      <c r="L32" s="1088"/>
      <c r="M32" s="396" t="s">
        <v>241</v>
      </c>
      <c r="O32" s="1366"/>
      <c r="P32" s="1366"/>
    </row>
    <row r="33" spans="1:16" ht="14.25" thickTop="1" thickBot="1" x14ac:dyDescent="0.25">
      <c r="A33" s="1408" t="s">
        <v>2212</v>
      </c>
      <c r="B33" s="1728" t="s">
        <v>1297</v>
      </c>
      <c r="C33" s="1728"/>
      <c r="D33" s="1728"/>
      <c r="E33" s="1728"/>
      <c r="F33" s="1728"/>
      <c r="G33" s="396" t="s">
        <v>241</v>
      </c>
      <c r="H33" s="1461">
        <f>H12-H27</f>
        <v>5</v>
      </c>
      <c r="I33" s="893"/>
      <c r="J33" s="1088"/>
      <c r="K33" s="1088"/>
      <c r="L33" s="1088"/>
      <c r="M33" s="396" t="s">
        <v>241</v>
      </c>
      <c r="O33" s="1366"/>
      <c r="P33" s="1366"/>
    </row>
    <row r="34" spans="1:16" ht="13.5" thickTop="1" x14ac:dyDescent="0.2">
      <c r="A34" s="28"/>
      <c r="B34" s="28"/>
      <c r="C34" s="28"/>
      <c r="D34" s="28"/>
      <c r="E34" s="28"/>
      <c r="F34" s="28"/>
      <c r="G34" s="28"/>
      <c r="H34" s="28"/>
      <c r="I34" s="28"/>
      <c r="J34" s="28"/>
      <c r="K34" s="28"/>
      <c r="L34" s="28"/>
      <c r="M34" s="28"/>
    </row>
    <row r="35" spans="1:16" x14ac:dyDescent="0.2">
      <c r="B35" s="26" t="str">
        <f>"Version: "&amp;D42</f>
        <v>Version: 2.00.E1</v>
      </c>
      <c r="C35" s="1086"/>
      <c r="D35" s="1086"/>
      <c r="E35" s="1086"/>
      <c r="F35" s="1086"/>
      <c r="M35" s="1086" t="s">
        <v>25</v>
      </c>
    </row>
    <row r="36" spans="1:16" x14ac:dyDescent="0.2">
      <c r="C36" s="1086"/>
      <c r="D36" s="1086"/>
      <c r="E36" s="1086"/>
      <c r="F36" s="1086"/>
    </row>
    <row r="37" spans="1:16" x14ac:dyDescent="0.2">
      <c r="C37" s="1086"/>
      <c r="D37" s="1086"/>
      <c r="E37" s="1086"/>
      <c r="F37" s="1086"/>
    </row>
    <row r="38" spans="1:16" x14ac:dyDescent="0.2">
      <c r="C38" s="1086"/>
      <c r="D38" s="1086"/>
      <c r="E38" s="1086"/>
      <c r="F38" s="1086"/>
    </row>
    <row r="39" spans="1:16" x14ac:dyDescent="0.2">
      <c r="A39" s="21"/>
      <c r="B39" s="237"/>
      <c r="C39" s="20" t="s">
        <v>24</v>
      </c>
      <c r="D39" s="19" t="str">
        <f>J2</f>
        <v>XXXXXX</v>
      </c>
      <c r="E39" s="1086"/>
      <c r="F39" s="1086"/>
    </row>
    <row r="40" spans="1:16" x14ac:dyDescent="0.2">
      <c r="A40" s="15"/>
      <c r="B40" s="61"/>
      <c r="C40" s="9"/>
      <c r="D40" s="239" t="str">
        <f>J1</f>
        <v>P_MKR_BIS_IMA</v>
      </c>
      <c r="E40" s="1086"/>
      <c r="F40" s="1086"/>
    </row>
    <row r="41" spans="1:16" x14ac:dyDescent="0.2">
      <c r="A41" s="15"/>
      <c r="B41" s="61"/>
      <c r="C41" s="9"/>
      <c r="D41" s="239" t="str">
        <f>J3</f>
        <v>DD.MM.YYYY</v>
      </c>
      <c r="E41" s="1086"/>
      <c r="F41" s="1086"/>
    </row>
    <row r="42" spans="1:16" x14ac:dyDescent="0.2">
      <c r="A42" s="15"/>
      <c r="B42" s="61"/>
      <c r="C42" s="9"/>
      <c r="D42" s="16" t="s">
        <v>248</v>
      </c>
      <c r="E42" s="1086"/>
      <c r="F42" s="1086"/>
    </row>
    <row r="43" spans="1:16" x14ac:dyDescent="0.2">
      <c r="A43" s="15"/>
      <c r="B43" s="61"/>
      <c r="C43" s="9"/>
      <c r="D43" s="929">
        <f>H10</f>
        <v>0</v>
      </c>
      <c r="E43" s="1086"/>
      <c r="F43" s="1086"/>
    </row>
    <row r="44" spans="1:16" x14ac:dyDescent="0.2">
      <c r="A44" s="15"/>
      <c r="B44" s="61"/>
      <c r="C44" s="9"/>
      <c r="D44" s="1174">
        <f>COUNTIF(O9:P33,"ERROR")</f>
        <v>5</v>
      </c>
      <c r="E44" s="1086"/>
      <c r="F44" s="1086"/>
    </row>
    <row r="45" spans="1:16" x14ac:dyDescent="0.2">
      <c r="A45" s="13"/>
      <c r="B45" s="28"/>
      <c r="C45" s="376"/>
      <c r="D45" s="1175">
        <f>COUNTIF(O9:P33,"WARNUNG")</f>
        <v>0</v>
      </c>
      <c r="E45" s="1086"/>
      <c r="F45" s="1086"/>
    </row>
    <row r="46" spans="1:16" x14ac:dyDescent="0.2">
      <c r="C46" s="1086"/>
      <c r="D46" s="1086"/>
      <c r="E46" s="1086"/>
      <c r="F46" s="1086"/>
    </row>
    <row r="47" spans="1:16" x14ac:dyDescent="0.2">
      <c r="C47" s="1086"/>
      <c r="D47" s="1086"/>
      <c r="E47" s="1086"/>
      <c r="F47" s="1086"/>
    </row>
    <row r="48" spans="1:16" x14ac:dyDescent="0.2">
      <c r="C48" s="1086"/>
      <c r="D48" s="1086"/>
      <c r="E48" s="1086"/>
      <c r="F48" s="1086"/>
    </row>
    <row r="49" spans="3:6" x14ac:dyDescent="0.2">
      <c r="C49" s="1086"/>
      <c r="D49" s="1086"/>
      <c r="E49" s="1086"/>
      <c r="F49" s="1086"/>
    </row>
  </sheetData>
  <mergeCells count="23">
    <mergeCell ref="B29:F29"/>
    <mergeCell ref="B30:F30"/>
    <mergeCell ref="B31:F31"/>
    <mergeCell ref="B32:F32"/>
    <mergeCell ref="B33:F33"/>
    <mergeCell ref="B28:F28"/>
    <mergeCell ref="B17:F17"/>
    <mergeCell ref="B18:F18"/>
    <mergeCell ref="B19:F19"/>
    <mergeCell ref="B20:F20"/>
    <mergeCell ref="B21:F21"/>
    <mergeCell ref="B22:F22"/>
    <mergeCell ref="B23:F23"/>
    <mergeCell ref="B24:F24"/>
    <mergeCell ref="B25:F25"/>
    <mergeCell ref="B26:F26"/>
    <mergeCell ref="B27:F27"/>
    <mergeCell ref="B16:F16"/>
    <mergeCell ref="B11:F11"/>
    <mergeCell ref="B12:F12"/>
    <mergeCell ref="B13:F13"/>
    <mergeCell ref="B14:F14"/>
    <mergeCell ref="B15:F15"/>
  </mergeCells>
  <printOptions gridLines="1" gridLinesSet="0"/>
  <pageMargins left="0.39370078740157483" right="0.39370078740157483" top="0.39370078740157483" bottom="0.39370078740157483" header="0.31496062992125984" footer="0.31496062992125984"/>
  <pageSetup paperSize="9" scale="62" fitToHeight="2" pageOrder="overThenDown" orientation="portrait" horizontalDpi="4294967292" verticalDpi="4294967292" r:id="rId1"/>
  <headerFooter alignWithMargins="0">
    <oddFooter>&amp;L&amp;"Arial,Fett"SNB Confidential&amp;C&amp;D&amp;RPage &amp;P</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Tabelle34">
    <tabColor rgb="FFFF0000"/>
    <pageSetUpPr fitToPage="1"/>
  </sheetPr>
  <dimension ref="A1:P43"/>
  <sheetViews>
    <sheetView workbookViewId="0">
      <selection activeCell="M23" sqref="M23"/>
    </sheetView>
  </sheetViews>
  <sheetFormatPr defaultColWidth="11.42578125" defaultRowHeight="12.75" x14ac:dyDescent="0.2"/>
  <cols>
    <col min="1" max="1" width="4.5703125" style="1" customWidth="1"/>
    <col min="2" max="2" width="45.42578125" style="1" customWidth="1"/>
    <col min="3" max="3" width="4.5703125" style="1" customWidth="1"/>
    <col min="4" max="9" width="17.5703125" style="1" customWidth="1"/>
    <col min="10" max="10" width="14.5703125" style="1" customWidth="1"/>
    <col min="11" max="11" width="4.5703125" style="1" customWidth="1"/>
    <col min="12" max="12" width="11.42578125" style="1"/>
    <col min="13" max="13" width="13" style="1" customWidth="1"/>
    <col min="14" max="14" width="23.5703125" style="1" customWidth="1"/>
    <col min="15" max="16384" width="11.42578125" style="1"/>
  </cols>
  <sheetData>
    <row r="1" spans="1:15" ht="25.35" customHeight="1" x14ac:dyDescent="0.25">
      <c r="A1" s="99"/>
      <c r="B1" s="9"/>
      <c r="C1" s="9"/>
      <c r="D1" s="9"/>
      <c r="E1" s="717" t="s">
        <v>1550</v>
      </c>
      <c r="F1" s="9"/>
      <c r="G1" s="9"/>
      <c r="H1" s="9"/>
      <c r="I1" s="718" t="s">
        <v>100</v>
      </c>
      <c r="J1" s="105" t="s">
        <v>1551</v>
      </c>
      <c r="K1" s="9"/>
      <c r="L1" s="9"/>
    </row>
    <row r="2" spans="1:15" ht="25.35" customHeight="1" x14ac:dyDescent="0.25">
      <c r="A2" s="9"/>
      <c r="B2" s="719"/>
      <c r="C2" s="9"/>
      <c r="D2" s="9"/>
      <c r="E2" s="104" t="s">
        <v>99</v>
      </c>
      <c r="G2" s="719"/>
      <c r="H2" s="719"/>
      <c r="I2" s="718" t="s">
        <v>98</v>
      </c>
      <c r="J2" s="103" t="s">
        <v>119</v>
      </c>
      <c r="K2" s="719"/>
      <c r="L2" s="9"/>
    </row>
    <row r="3" spans="1:15" ht="25.35" customHeight="1" x14ac:dyDescent="0.2">
      <c r="A3" s="9"/>
      <c r="B3" s="719"/>
      <c r="C3" s="9"/>
      <c r="D3" s="9"/>
      <c r="E3" s="1" t="s">
        <v>94</v>
      </c>
      <c r="G3" s="719"/>
      <c r="H3" s="719"/>
      <c r="I3" s="718" t="s">
        <v>96</v>
      </c>
      <c r="J3" s="751" t="s">
        <v>121</v>
      </c>
      <c r="K3" s="719"/>
      <c r="L3" s="9"/>
    </row>
    <row r="4" spans="1:15" ht="25.35" customHeight="1" x14ac:dyDescent="0.2">
      <c r="A4" s="9"/>
      <c r="B4" s="719"/>
      <c r="C4" s="9"/>
      <c r="D4" s="9"/>
      <c r="G4" s="719"/>
      <c r="H4" s="719"/>
      <c r="K4" s="719"/>
      <c r="L4" s="9"/>
    </row>
    <row r="5" spans="1:15" ht="25.35" customHeight="1" x14ac:dyDescent="0.2">
      <c r="A5" s="9"/>
      <c r="B5" s="719"/>
      <c r="C5" s="9"/>
      <c r="D5" s="9"/>
      <c r="E5" s="719"/>
      <c r="G5" s="719"/>
      <c r="H5" s="719"/>
      <c r="I5" s="719"/>
      <c r="J5" s="719"/>
      <c r="K5" s="719"/>
      <c r="L5" s="9"/>
    </row>
    <row r="6" spans="1:15" ht="25.35" customHeight="1" x14ac:dyDescent="0.2">
      <c r="A6" s="9"/>
      <c r="B6" s="719"/>
      <c r="C6" s="9"/>
      <c r="D6" s="9"/>
      <c r="E6" s="719"/>
      <c r="F6" s="719"/>
      <c r="G6" s="719"/>
      <c r="H6" s="719"/>
      <c r="I6" s="719"/>
      <c r="J6" s="719"/>
      <c r="K6" s="719"/>
      <c r="L6" s="9"/>
    </row>
    <row r="7" spans="1:15" ht="25.35" customHeight="1" x14ac:dyDescent="0.2">
      <c r="A7" s="12"/>
      <c r="B7" s="719"/>
      <c r="C7" s="12"/>
      <c r="D7" s="12"/>
      <c r="E7" s="723"/>
      <c r="F7" s="719"/>
      <c r="G7" s="719"/>
      <c r="H7" s="719"/>
      <c r="I7" s="719"/>
      <c r="J7" s="752"/>
      <c r="K7" s="752"/>
      <c r="L7" s="9"/>
    </row>
    <row r="8" spans="1:15" ht="17.850000000000001" customHeight="1" x14ac:dyDescent="0.25">
      <c r="A8" s="724"/>
      <c r="B8" s="725"/>
      <c r="C8" s="88"/>
      <c r="D8" s="872" t="s">
        <v>1552</v>
      </c>
      <c r="E8" s="753"/>
      <c r="F8" s="80"/>
      <c r="G8" s="80" t="s">
        <v>1553</v>
      </c>
      <c r="H8" s="868" t="s">
        <v>1554</v>
      </c>
      <c r="I8" s="91"/>
      <c r="J8" s="80"/>
      <c r="K8" s="88"/>
      <c r="L8" s="71"/>
      <c r="M8" s="9"/>
    </row>
    <row r="9" spans="1:15" ht="17.850000000000001" customHeight="1" x14ac:dyDescent="0.25">
      <c r="A9" s="727"/>
      <c r="B9" s="717"/>
      <c r="C9" s="62"/>
      <c r="D9" s="755"/>
      <c r="E9" s="86"/>
      <c r="F9" s="72"/>
      <c r="G9" s="66" t="s">
        <v>1555</v>
      </c>
      <c r="H9" s="755"/>
      <c r="I9" s="86"/>
      <c r="J9" s="873"/>
      <c r="K9" s="62"/>
      <c r="L9" s="71"/>
      <c r="M9" s="9"/>
    </row>
    <row r="10" spans="1:15" ht="17.850000000000001" customHeight="1" x14ac:dyDescent="0.25">
      <c r="A10" s="727"/>
      <c r="B10" s="717"/>
      <c r="C10" s="62"/>
      <c r="D10" s="94" t="s">
        <v>1556</v>
      </c>
      <c r="E10" s="94" t="s">
        <v>1557</v>
      </c>
      <c r="F10" s="66" t="s">
        <v>1558</v>
      </c>
      <c r="G10" s="66"/>
      <c r="H10" s="89" t="s">
        <v>1559</v>
      </c>
      <c r="I10" s="90" t="s">
        <v>1560</v>
      </c>
      <c r="J10" s="90" t="s">
        <v>1561</v>
      </c>
      <c r="K10" s="62"/>
      <c r="L10" s="71"/>
      <c r="M10" s="9"/>
    </row>
    <row r="11" spans="1:15" ht="17.850000000000001" customHeight="1" x14ac:dyDescent="0.25">
      <c r="A11" s="727"/>
      <c r="B11" s="717"/>
      <c r="C11" s="62"/>
      <c r="D11" s="77"/>
      <c r="E11" s="77"/>
      <c r="F11" s="66"/>
      <c r="G11" s="66"/>
      <c r="H11" s="874" t="s">
        <v>1562</v>
      </c>
      <c r="I11" s="63" t="s">
        <v>1563</v>
      </c>
      <c r="J11" s="63" t="s">
        <v>1564</v>
      </c>
      <c r="K11" s="62"/>
      <c r="L11" s="71"/>
      <c r="M11" s="9"/>
    </row>
    <row r="12" spans="1:15" ht="86.25" customHeight="1" x14ac:dyDescent="0.2">
      <c r="A12" s="9"/>
      <c r="B12" s="9"/>
      <c r="C12" s="62"/>
      <c r="D12" s="63"/>
      <c r="E12" s="63"/>
      <c r="F12" s="70"/>
      <c r="G12" s="63"/>
      <c r="H12" s="77" t="s">
        <v>1565</v>
      </c>
      <c r="I12" s="77" t="s">
        <v>1566</v>
      </c>
      <c r="J12" s="77" t="s">
        <v>1567</v>
      </c>
      <c r="K12" s="62"/>
      <c r="L12" s="61"/>
      <c r="M12" s="61"/>
    </row>
    <row r="13" spans="1:15" ht="25.35" customHeight="1" x14ac:dyDescent="0.2">
      <c r="A13" s="719"/>
      <c r="B13" s="752"/>
      <c r="C13" s="58"/>
      <c r="D13" s="191" t="s">
        <v>22</v>
      </c>
      <c r="E13" s="191" t="s">
        <v>21</v>
      </c>
      <c r="F13" s="191" t="s">
        <v>20</v>
      </c>
      <c r="G13" s="191" t="s">
        <v>19</v>
      </c>
      <c r="H13" s="191" t="s">
        <v>18</v>
      </c>
      <c r="I13" s="191" t="s">
        <v>17</v>
      </c>
      <c r="J13" s="191" t="s">
        <v>16</v>
      </c>
      <c r="K13" s="58"/>
      <c r="L13" s="99"/>
      <c r="M13" s="875" t="s">
        <v>1568</v>
      </c>
      <c r="N13" s="61" t="s">
        <v>1569</v>
      </c>
    </row>
    <row r="14" spans="1:15" ht="40.35" customHeight="1" thickBot="1" x14ac:dyDescent="0.25">
      <c r="A14" s="876"/>
      <c r="B14" s="759" t="s">
        <v>1570</v>
      </c>
      <c r="C14" s="31">
        <v>1</v>
      </c>
      <c r="D14" s="33"/>
      <c r="E14" s="33"/>
      <c r="F14" s="33"/>
      <c r="G14" s="32">
        <f>0.15*(MAX(D14,0)+MAX(E14,0)+MAX(F14,0))/MAX(COUNTIF(D14:F14,"&gt;0"),1)</f>
        <v>0</v>
      </c>
      <c r="H14" s="34"/>
      <c r="I14" s="34"/>
      <c r="J14" s="34"/>
      <c r="K14" s="31">
        <v>1</v>
      </c>
      <c r="L14" s="867"/>
      <c r="M14" s="2" t="str">
        <f>IF(G14&lt;0,"ERROR","OK")</f>
        <v>OK</v>
      </c>
      <c r="N14" s="99"/>
      <c r="O14" s="760"/>
    </row>
    <row r="15" spans="1:15" ht="6.6" customHeight="1" thickTop="1" x14ac:dyDescent="0.2">
      <c r="A15" s="768"/>
      <c r="B15" s="761"/>
      <c r="C15" s="391"/>
      <c r="D15" s="28"/>
      <c r="E15" s="28"/>
      <c r="F15" s="28"/>
      <c r="G15" s="28"/>
      <c r="H15" s="28"/>
      <c r="I15" s="28"/>
      <c r="J15" s="877"/>
      <c r="K15" s="31"/>
      <c r="L15" s="878"/>
      <c r="M15" s="879"/>
      <c r="N15" s="99"/>
      <c r="O15" s="9"/>
    </row>
    <row r="16" spans="1:15" ht="44.1" customHeight="1" thickBot="1" x14ac:dyDescent="0.25">
      <c r="A16" s="880"/>
      <c r="B16" s="762" t="s">
        <v>1571</v>
      </c>
      <c r="C16" s="391">
        <v>2</v>
      </c>
      <c r="D16" s="34"/>
      <c r="E16" s="34"/>
      <c r="F16" s="34"/>
      <c r="G16" s="32">
        <f>(1/3)*(MAX((0.18*D18+0.18*D19+0.12*D20+0.15*D21+0.18*D22+0.15*D23+0.12*D24+0.12*D25),0)+(MAX((0.18*F18+0.18*F19+0.12*F20+0.15*F21+0.18*F22+0.15*F23+0.12*F24+0.12*F25),0))+(MAX((0.18*E18+0.18*E19+0.12*E20+0.15*E21+0.18*E22+0.15*E23+0.12*E24+0.12*E25),0)))</f>
        <v>0</v>
      </c>
      <c r="H16" s="34"/>
      <c r="I16" s="34"/>
      <c r="J16" s="34"/>
      <c r="K16" s="31">
        <v>2</v>
      </c>
      <c r="L16" s="2" t="str">
        <f>IF(AND(G14&gt;0,G16&gt;0),"ERROR","OK")</f>
        <v>OK</v>
      </c>
      <c r="M16" s="2" t="str">
        <f>IF(G16&lt;0,"ERROR","OK")</f>
        <v>OK</v>
      </c>
      <c r="N16" s="99"/>
      <c r="O16" s="9"/>
    </row>
    <row r="17" spans="1:16" ht="30" customHeight="1" thickTop="1" x14ac:dyDescent="0.2">
      <c r="A17" s="880"/>
      <c r="B17" s="763" t="s">
        <v>1572</v>
      </c>
      <c r="C17" s="31"/>
      <c r="D17" s="881"/>
      <c r="E17" s="881"/>
      <c r="F17" s="881"/>
      <c r="G17" s="881"/>
      <c r="H17" s="881"/>
      <c r="I17" s="881"/>
      <c r="J17" s="881"/>
      <c r="K17" s="31"/>
      <c r="L17" s="764"/>
      <c r="M17" s="24"/>
      <c r="N17" s="99"/>
      <c r="O17" s="9"/>
    </row>
    <row r="18" spans="1:16" ht="25.35" customHeight="1" x14ac:dyDescent="0.2">
      <c r="A18" s="880"/>
      <c r="B18" s="765" t="s">
        <v>1573</v>
      </c>
      <c r="C18" s="31">
        <v>3</v>
      </c>
      <c r="D18" s="33"/>
      <c r="E18" s="33"/>
      <c r="F18" s="37"/>
      <c r="G18" s="35"/>
      <c r="H18" s="34"/>
      <c r="I18" s="34"/>
      <c r="J18" s="34"/>
      <c r="K18" s="31">
        <v>3</v>
      </c>
      <c r="L18" s="728"/>
      <c r="M18" s="24"/>
      <c r="N18" s="99"/>
      <c r="O18" s="9"/>
    </row>
    <row r="19" spans="1:16" ht="25.35" customHeight="1" x14ac:dyDescent="0.2">
      <c r="A19" s="882"/>
      <c r="B19" s="766" t="s">
        <v>1574</v>
      </c>
      <c r="C19" s="31">
        <v>4</v>
      </c>
      <c r="D19" s="33"/>
      <c r="E19" s="33"/>
      <c r="F19" s="37"/>
      <c r="G19" s="35"/>
      <c r="H19" s="34"/>
      <c r="I19" s="34"/>
      <c r="J19" s="34"/>
      <c r="K19" s="31">
        <v>4</v>
      </c>
      <c r="L19" s="728"/>
      <c r="M19" s="24"/>
      <c r="N19" s="99"/>
      <c r="O19" s="9"/>
    </row>
    <row r="20" spans="1:16" ht="20.85" customHeight="1" x14ac:dyDescent="0.2">
      <c r="A20" s="719"/>
      <c r="B20" s="766" t="s">
        <v>1575</v>
      </c>
      <c r="C20" s="31">
        <v>5</v>
      </c>
      <c r="D20" s="33"/>
      <c r="E20" s="33"/>
      <c r="F20" s="37"/>
      <c r="G20" s="35"/>
      <c r="H20" s="34"/>
      <c r="I20" s="34"/>
      <c r="J20" s="34"/>
      <c r="K20" s="31">
        <v>5</v>
      </c>
      <c r="L20" s="728"/>
      <c r="M20" s="24"/>
      <c r="N20" s="99"/>
      <c r="O20" s="9"/>
    </row>
    <row r="21" spans="1:16" ht="25.35" customHeight="1" x14ac:dyDescent="0.2">
      <c r="A21" s="880"/>
      <c r="B21" s="766" t="s">
        <v>1576</v>
      </c>
      <c r="C21" s="31">
        <v>6</v>
      </c>
      <c r="D21" s="33"/>
      <c r="E21" s="33"/>
      <c r="F21" s="37"/>
      <c r="G21" s="35"/>
      <c r="H21" s="34"/>
      <c r="I21" s="34"/>
      <c r="J21" s="34"/>
      <c r="K21" s="31">
        <v>6</v>
      </c>
      <c r="L21" s="728"/>
      <c r="M21" s="24"/>
      <c r="N21" s="99"/>
      <c r="O21" s="9"/>
    </row>
    <row r="22" spans="1:16" ht="25.35" customHeight="1" x14ac:dyDescent="0.2">
      <c r="A22" s="880"/>
      <c r="B22" s="767" t="s">
        <v>1577</v>
      </c>
      <c r="C22" s="31">
        <v>7</v>
      </c>
      <c r="D22" s="33"/>
      <c r="E22" s="33"/>
      <c r="F22" s="37"/>
      <c r="G22" s="35"/>
      <c r="H22" s="34"/>
      <c r="I22" s="34"/>
      <c r="J22" s="34"/>
      <c r="K22" s="31">
        <v>7</v>
      </c>
      <c r="L22" s="728"/>
      <c r="M22" s="24"/>
      <c r="N22" s="99"/>
      <c r="O22" s="9"/>
    </row>
    <row r="23" spans="1:16" ht="25.35" customHeight="1" x14ac:dyDescent="0.2">
      <c r="A23" s="880"/>
      <c r="B23" s="766" t="s">
        <v>1578</v>
      </c>
      <c r="C23" s="31">
        <v>8</v>
      </c>
      <c r="D23" s="33"/>
      <c r="E23" s="33"/>
      <c r="F23" s="37"/>
      <c r="G23" s="35"/>
      <c r="H23" s="34"/>
      <c r="I23" s="34"/>
      <c r="J23" s="34"/>
      <c r="K23" s="31">
        <v>8</v>
      </c>
      <c r="L23" s="728"/>
      <c r="M23" s="24"/>
      <c r="N23" s="99"/>
      <c r="O23" s="9"/>
    </row>
    <row r="24" spans="1:16" ht="25.35" customHeight="1" x14ac:dyDescent="0.2">
      <c r="A24" s="880"/>
      <c r="B24" s="766" t="s">
        <v>1579</v>
      </c>
      <c r="C24" s="31">
        <v>9</v>
      </c>
      <c r="D24" s="33"/>
      <c r="E24" s="33"/>
      <c r="F24" s="37"/>
      <c r="G24" s="35"/>
      <c r="H24" s="34"/>
      <c r="I24" s="34"/>
      <c r="J24" s="34"/>
      <c r="K24" s="31">
        <v>9</v>
      </c>
      <c r="L24" s="728"/>
      <c r="M24" s="24"/>
      <c r="N24" s="99"/>
      <c r="O24" s="9"/>
    </row>
    <row r="25" spans="1:16" ht="25.35" customHeight="1" x14ac:dyDescent="0.2">
      <c r="A25" s="880"/>
      <c r="B25" s="766" t="s">
        <v>1580</v>
      </c>
      <c r="C25" s="31">
        <v>10</v>
      </c>
      <c r="D25" s="33"/>
      <c r="E25" s="33"/>
      <c r="F25" s="37"/>
      <c r="G25" s="35"/>
      <c r="H25" s="34"/>
      <c r="I25" s="34"/>
      <c r="J25" s="34"/>
      <c r="K25" s="31">
        <v>10</v>
      </c>
      <c r="L25" s="728"/>
      <c r="M25" s="24"/>
      <c r="N25" s="99"/>
      <c r="O25" s="9"/>
    </row>
    <row r="26" spans="1:16" ht="7.5" customHeight="1" x14ac:dyDescent="0.2">
      <c r="A26" s="768"/>
      <c r="B26" s="886"/>
      <c r="C26" s="31"/>
      <c r="D26" s="526"/>
      <c r="E26" s="28"/>
      <c r="F26" s="28"/>
      <c r="G26" s="28"/>
      <c r="H26" s="28"/>
      <c r="I26" s="28"/>
      <c r="J26" s="877"/>
      <c r="K26" s="31"/>
      <c r="L26" s="867"/>
      <c r="M26" s="24"/>
      <c r="N26" s="9"/>
    </row>
    <row r="27" spans="1:16" ht="56.25" customHeight="1" thickBot="1" x14ac:dyDescent="0.25">
      <c r="A27" s="880"/>
      <c r="B27" s="762" t="s">
        <v>1603</v>
      </c>
      <c r="C27" s="31">
        <v>11</v>
      </c>
      <c r="D27" s="33"/>
      <c r="E27" s="33"/>
      <c r="F27" s="33"/>
      <c r="G27" s="33"/>
      <c r="H27" s="32">
        <f>G27+I27+J27</f>
        <v>0</v>
      </c>
      <c r="I27" s="33"/>
      <c r="J27" s="33"/>
      <c r="K27" s="31">
        <v>11</v>
      </c>
      <c r="L27" s="867"/>
      <c r="M27" s="2" t="str">
        <f>IF(G27&lt;0,"ERROR","OK")</f>
        <v>OK</v>
      </c>
      <c r="N27" s="2" t="str">
        <f>IF(MIN(H27:J27)&lt;0,"ERROR","OK")</f>
        <v>OK</v>
      </c>
      <c r="O27" s="769"/>
      <c r="P27" s="9"/>
    </row>
    <row r="28" spans="1:16" ht="7.5" customHeight="1" thickTop="1" x14ac:dyDescent="0.2">
      <c r="A28" s="768"/>
      <c r="B28" s="744"/>
      <c r="C28" s="12"/>
      <c r="D28" s="28"/>
      <c r="E28" s="28"/>
      <c r="F28" s="28"/>
      <c r="G28" s="28"/>
      <c r="H28" s="28"/>
      <c r="I28" s="28"/>
      <c r="J28" s="28"/>
      <c r="K28" s="12"/>
      <c r="L28" s="99"/>
      <c r="M28" s="99"/>
      <c r="N28" s="99"/>
      <c r="O28" s="9"/>
    </row>
    <row r="29" spans="1:16" ht="18.75" customHeight="1" x14ac:dyDescent="0.2">
      <c r="A29" s="867"/>
      <c r="B29" s="26" t="str">
        <f>"Version: "&amp;D39</f>
        <v>Version: 2.00.E0</v>
      </c>
      <c r="C29" s="867"/>
      <c r="D29" s="867"/>
      <c r="E29" s="867"/>
      <c r="F29" s="867"/>
      <c r="G29" s="867"/>
      <c r="H29" s="867"/>
      <c r="I29" s="867"/>
      <c r="J29" s="867"/>
      <c r="K29" s="883" t="s">
        <v>25</v>
      </c>
      <c r="L29" s="23"/>
      <c r="M29" s="24"/>
      <c r="N29" s="9"/>
      <c r="O29" s="9"/>
    </row>
    <row r="30" spans="1:16" ht="18.75" customHeight="1" x14ac:dyDescent="0.2">
      <c r="A30" s="867"/>
      <c r="B30" s="867"/>
      <c r="C30" s="867"/>
      <c r="D30" s="867"/>
      <c r="E30" s="867"/>
      <c r="F30" s="867"/>
      <c r="G30" s="867"/>
      <c r="H30" s="867"/>
      <c r="I30" s="867"/>
      <c r="J30" s="867"/>
      <c r="K30" s="9"/>
      <c r="L30" s="23"/>
      <c r="M30" s="23"/>
    </row>
    <row r="31" spans="1:16" ht="18.75" customHeight="1" x14ac:dyDescent="0.2">
      <c r="A31" s="884" t="s">
        <v>259</v>
      </c>
      <c r="B31" s="867" t="s">
        <v>1604</v>
      </c>
      <c r="C31" s="867"/>
      <c r="D31" s="867"/>
      <c r="E31" s="867"/>
      <c r="F31" s="867"/>
      <c r="G31" s="867"/>
      <c r="H31" s="867"/>
      <c r="I31" s="867"/>
      <c r="J31" s="867"/>
      <c r="K31" s="9"/>
      <c r="L31" s="23"/>
      <c r="M31" s="23"/>
    </row>
    <row r="32" spans="1:16" ht="18.75" customHeight="1" x14ac:dyDescent="0.2">
      <c r="A32" s="867"/>
      <c r="B32" s="867" t="s">
        <v>1605</v>
      </c>
      <c r="C32" s="867"/>
      <c r="D32" s="867"/>
      <c r="E32" s="867"/>
      <c r="F32" s="867"/>
      <c r="G32" s="867"/>
      <c r="H32" s="867"/>
      <c r="I32" s="867"/>
      <c r="J32" s="867"/>
      <c r="K32" s="9"/>
      <c r="L32" s="23"/>
      <c r="M32" s="23"/>
    </row>
    <row r="33" spans="1:13" ht="18.75" customHeight="1" x14ac:dyDescent="0.2">
      <c r="A33" s="867"/>
      <c r="B33" s="867"/>
      <c r="C33" s="867"/>
      <c r="D33" s="867"/>
      <c r="E33" s="867"/>
      <c r="F33" s="867"/>
      <c r="G33" s="867"/>
      <c r="H33" s="867"/>
      <c r="I33" s="867"/>
      <c r="J33" s="867"/>
      <c r="K33" s="9"/>
      <c r="L33" s="23"/>
      <c r="M33" s="23"/>
    </row>
    <row r="34" spans="1:13" ht="18.75" customHeight="1" x14ac:dyDescent="0.2">
      <c r="K34" s="9"/>
    </row>
    <row r="35" spans="1:13" ht="18.75" customHeight="1" x14ac:dyDescent="0.2"/>
    <row r="36" spans="1:13" ht="18.75" customHeight="1" x14ac:dyDescent="0.2">
      <c r="B36" s="21"/>
      <c r="C36" s="20" t="s">
        <v>24</v>
      </c>
      <c r="D36" s="19" t="str">
        <f>J2</f>
        <v>XXXXXX</v>
      </c>
    </row>
    <row r="37" spans="1:13" ht="18.75" customHeight="1" x14ac:dyDescent="0.2">
      <c r="B37" s="15"/>
      <c r="D37" s="885" t="str">
        <f>J1</f>
        <v>P_OPR</v>
      </c>
    </row>
    <row r="38" spans="1:13" ht="18.75" customHeight="1" x14ac:dyDescent="0.2">
      <c r="B38" s="15"/>
      <c r="D38" s="18" t="str">
        <f>J3</f>
        <v>DD.MM.YYYY</v>
      </c>
    </row>
    <row r="39" spans="1:13" ht="18.75" customHeight="1" x14ac:dyDescent="0.2">
      <c r="B39" s="17"/>
      <c r="D39" s="16" t="s">
        <v>1606</v>
      </c>
    </row>
    <row r="40" spans="1:13" ht="18.75" customHeight="1" x14ac:dyDescent="0.2">
      <c r="B40" s="15"/>
      <c r="D40" s="14" t="str">
        <f>D13</f>
        <v>col. 01</v>
      </c>
    </row>
    <row r="41" spans="1:13" ht="18.75" customHeight="1" x14ac:dyDescent="0.2">
      <c r="B41" s="13"/>
      <c r="C41" s="12"/>
      <c r="D41" s="241">
        <f>COUNTIF(L14:N27,"ERROR")</f>
        <v>0</v>
      </c>
    </row>
    <row r="42" spans="1:13" x14ac:dyDescent="0.2">
      <c r="B42" s="9"/>
      <c r="C42" s="8"/>
      <c r="D42" s="9"/>
    </row>
    <row r="43" spans="1:13" x14ac:dyDescent="0.2">
      <c r="B43" s="9"/>
      <c r="C43" s="8"/>
      <c r="D43" s="9"/>
    </row>
  </sheetData>
  <printOptions gridLines="1" gridLinesSet="0"/>
  <pageMargins left="0.39370078740157483" right="0.39370078740157483" top="0.39370078740157483" bottom="0.39370078740157483" header="0.19685039370078741" footer="0.19685039370078741"/>
  <pageSetup paperSize="9" scale="53" orientation="portrait" horizontalDpi="4294967292" verticalDpi="4294967292" r:id="rId1"/>
  <headerFooter alignWithMargins="0">
    <oddFooter>&amp;L&amp;"Arial,Fett"SNB Confidential&amp;C&amp;D&amp;RPage &amp;P</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Tabelle35">
    <tabColor rgb="FF92D050"/>
    <pageSetUpPr fitToPage="1"/>
  </sheetPr>
  <dimension ref="A1:J37"/>
  <sheetViews>
    <sheetView workbookViewId="0">
      <selection activeCell="I16" sqref="I16"/>
    </sheetView>
  </sheetViews>
  <sheetFormatPr defaultColWidth="11.42578125" defaultRowHeight="12.75" x14ac:dyDescent="0.2"/>
  <cols>
    <col min="1" max="1" width="4.5703125" style="492" customWidth="1"/>
    <col min="2" max="2" width="68.42578125" style="492" customWidth="1"/>
    <col min="3" max="3" width="4.5703125" style="492" customWidth="1"/>
    <col min="4" max="6" width="17.5703125" style="492" customWidth="1"/>
    <col min="7" max="7" width="4" style="492" bestFit="1" customWidth="1"/>
    <col min="8" max="8" width="13" style="492" customWidth="1"/>
    <col min="9" max="9" width="23.5703125" style="492" customWidth="1"/>
    <col min="10" max="10" width="17.140625" style="492" customWidth="1"/>
    <col min="11" max="16384" width="11.42578125" style="492"/>
  </cols>
  <sheetData>
    <row r="1" spans="1:10" ht="25.35" customHeight="1" x14ac:dyDescent="0.25">
      <c r="A1" s="491"/>
      <c r="B1" s="496"/>
      <c r="C1" s="496"/>
      <c r="D1" s="496"/>
      <c r="E1" s="770" t="s">
        <v>1550</v>
      </c>
      <c r="F1" s="496"/>
      <c r="I1" s="771" t="s">
        <v>100</v>
      </c>
      <c r="J1" s="772" t="s">
        <v>1551</v>
      </c>
    </row>
    <row r="2" spans="1:10" ht="25.35" customHeight="1" x14ac:dyDescent="0.25">
      <c r="A2" s="496"/>
      <c r="B2" s="773"/>
      <c r="C2" s="496"/>
      <c r="D2" s="496"/>
      <c r="E2" s="774" t="s">
        <v>99</v>
      </c>
      <c r="I2" s="771" t="s">
        <v>98</v>
      </c>
      <c r="J2" s="775" t="s">
        <v>119</v>
      </c>
    </row>
    <row r="3" spans="1:10" ht="25.35" customHeight="1" x14ac:dyDescent="0.2">
      <c r="A3" s="496"/>
      <c r="B3" s="773"/>
      <c r="C3" s="496"/>
      <c r="D3" s="496"/>
      <c r="E3" s="492" t="s">
        <v>94</v>
      </c>
      <c r="I3" s="771" t="s">
        <v>96</v>
      </c>
      <c r="J3" s="776" t="s">
        <v>121</v>
      </c>
    </row>
    <row r="4" spans="1:10" ht="25.35" customHeight="1" x14ac:dyDescent="0.2">
      <c r="A4" s="496"/>
      <c r="B4" s="106" t="s">
        <v>2250</v>
      </c>
      <c r="C4" s="496"/>
      <c r="D4" s="496"/>
      <c r="G4" s="496"/>
    </row>
    <row r="5" spans="1:10" ht="17.850000000000001" customHeight="1" x14ac:dyDescent="0.2">
      <c r="A5" s="496"/>
      <c r="B5" s="1462" t="s">
        <v>2238</v>
      </c>
      <c r="C5" s="496"/>
      <c r="D5" s="496"/>
      <c r="E5" s="773"/>
      <c r="G5" s="496"/>
    </row>
    <row r="6" spans="1:10" ht="19.5" customHeight="1" x14ac:dyDescent="0.2">
      <c r="A6" s="496"/>
      <c r="B6" s="777"/>
      <c r="C6" s="496"/>
      <c r="D6" s="496"/>
      <c r="E6" s="773"/>
      <c r="F6" s="773"/>
      <c r="G6" s="496"/>
    </row>
    <row r="7" spans="1:10" ht="25.35" customHeight="1" x14ac:dyDescent="0.2">
      <c r="A7" s="778"/>
      <c r="B7" s="773"/>
      <c r="C7" s="496"/>
      <c r="D7" s="778"/>
      <c r="E7" s="779"/>
      <c r="F7" s="773"/>
      <c r="G7" s="496"/>
    </row>
    <row r="8" spans="1:10" ht="17.850000000000001" customHeight="1" x14ac:dyDescent="0.25">
      <c r="A8" s="780"/>
      <c r="B8" s="781"/>
      <c r="C8" s="782"/>
      <c r="D8" s="783" t="s">
        <v>1607</v>
      </c>
      <c r="E8" s="783" t="s">
        <v>1608</v>
      </c>
      <c r="F8" s="783" t="s">
        <v>1609</v>
      </c>
      <c r="G8" s="782"/>
      <c r="H8" s="496"/>
    </row>
    <row r="9" spans="1:10" ht="25.35" customHeight="1" x14ac:dyDescent="0.2">
      <c r="A9" s="773"/>
      <c r="B9" s="773"/>
      <c r="C9" s="784"/>
      <c r="D9" s="1181" t="s">
        <v>22</v>
      </c>
      <c r="E9" s="1181" t="s">
        <v>21</v>
      </c>
      <c r="F9" s="1181" t="s">
        <v>20</v>
      </c>
      <c r="G9" s="784"/>
      <c r="H9" s="337"/>
      <c r="I9" s="337"/>
    </row>
    <row r="10" spans="1:10" ht="25.35" customHeight="1" x14ac:dyDescent="0.2">
      <c r="A10" s="785"/>
      <c r="B10" s="786" t="s">
        <v>1581</v>
      </c>
      <c r="C10" s="787"/>
      <c r="D10" s="1087"/>
      <c r="E10" s="1087"/>
      <c r="F10" s="1087"/>
      <c r="G10" s="1180"/>
      <c r="H10" s="788"/>
      <c r="I10" s="491"/>
      <c r="J10" s="496"/>
    </row>
    <row r="11" spans="1:10" ht="25.35" customHeight="1" x14ac:dyDescent="0.2">
      <c r="A11" s="789" t="s">
        <v>1306</v>
      </c>
      <c r="B11" s="790" t="s">
        <v>1582</v>
      </c>
      <c r="C11" s="1038" t="s">
        <v>241</v>
      </c>
      <c r="D11" s="792"/>
      <c r="E11" s="1087"/>
      <c r="F11" s="1087"/>
      <c r="G11" s="1038" t="s">
        <v>241</v>
      </c>
      <c r="H11" s="788"/>
      <c r="I11" s="491"/>
      <c r="J11" s="496"/>
    </row>
    <row r="12" spans="1:10" ht="25.35" customHeight="1" x14ac:dyDescent="0.2">
      <c r="A12" s="789" t="s">
        <v>197</v>
      </c>
      <c r="B12" s="793" t="s">
        <v>1583</v>
      </c>
      <c r="C12" s="1038" t="s">
        <v>241</v>
      </c>
      <c r="D12" s="794"/>
      <c r="E12" s="794"/>
      <c r="F12" s="795"/>
      <c r="G12" s="1038" t="s">
        <v>241</v>
      </c>
      <c r="H12" s="788"/>
      <c r="I12" s="491"/>
      <c r="J12" s="496"/>
    </row>
    <row r="13" spans="1:10" ht="25.35" customHeight="1" x14ac:dyDescent="0.2">
      <c r="A13" s="789" t="s">
        <v>199</v>
      </c>
      <c r="B13" s="793" t="s">
        <v>1584</v>
      </c>
      <c r="C13" s="1038" t="s">
        <v>241</v>
      </c>
      <c r="D13" s="794"/>
      <c r="E13" s="796"/>
      <c r="F13" s="795"/>
      <c r="G13" s="1038" t="s">
        <v>241</v>
      </c>
      <c r="H13" s="788"/>
      <c r="I13" s="491"/>
      <c r="J13" s="496"/>
    </row>
    <row r="14" spans="1:10" ht="25.35" customHeight="1" x14ac:dyDescent="0.2">
      <c r="A14" s="789" t="s">
        <v>200</v>
      </c>
      <c r="B14" s="793" t="s">
        <v>1585</v>
      </c>
      <c r="C14" s="1038" t="s">
        <v>241</v>
      </c>
      <c r="D14" s="794"/>
      <c r="E14" s="796"/>
      <c r="F14" s="795"/>
      <c r="G14" s="1038" t="s">
        <v>241</v>
      </c>
      <c r="H14" s="788"/>
      <c r="I14" s="491"/>
      <c r="J14" s="496"/>
    </row>
    <row r="15" spans="1:10" ht="25.35" customHeight="1" x14ac:dyDescent="0.2">
      <c r="A15" s="789" t="s">
        <v>201</v>
      </c>
      <c r="B15" s="793" t="s">
        <v>1586</v>
      </c>
      <c r="C15" s="1038" t="s">
        <v>241</v>
      </c>
      <c r="D15" s="794"/>
      <c r="E15" s="797"/>
      <c r="F15" s="797"/>
      <c r="G15" s="1038" t="s">
        <v>241</v>
      </c>
      <c r="H15" s="788"/>
      <c r="I15" s="491"/>
      <c r="J15" s="496"/>
    </row>
    <row r="16" spans="1:10" ht="25.35" customHeight="1" x14ac:dyDescent="0.2">
      <c r="A16" s="789" t="s">
        <v>1307</v>
      </c>
      <c r="B16" s="790" t="s">
        <v>1587</v>
      </c>
      <c r="C16" s="1038" t="s">
        <v>241</v>
      </c>
      <c r="D16" s="794"/>
      <c r="E16" s="1087"/>
      <c r="F16" s="1087"/>
      <c r="G16" s="1038" t="s">
        <v>241</v>
      </c>
      <c r="H16" s="788"/>
      <c r="I16" s="491"/>
      <c r="J16" s="496"/>
    </row>
    <row r="17" spans="1:10" ht="25.35" customHeight="1" x14ac:dyDescent="0.2">
      <c r="A17" s="789" t="s">
        <v>1308</v>
      </c>
      <c r="B17" s="793" t="s">
        <v>1588</v>
      </c>
      <c r="C17" s="1038" t="s">
        <v>241</v>
      </c>
      <c r="D17" s="794"/>
      <c r="E17" s="796"/>
      <c r="F17" s="795"/>
      <c r="G17" s="1038" t="s">
        <v>241</v>
      </c>
      <c r="H17" s="788"/>
      <c r="I17" s="491"/>
      <c r="J17" s="496"/>
    </row>
    <row r="18" spans="1:10" ht="25.35" customHeight="1" x14ac:dyDescent="0.2">
      <c r="A18" s="789" t="s">
        <v>212</v>
      </c>
      <c r="B18" s="793" t="s">
        <v>1589</v>
      </c>
      <c r="C18" s="1038" t="s">
        <v>241</v>
      </c>
      <c r="D18" s="794"/>
      <c r="E18" s="796"/>
      <c r="F18" s="795"/>
      <c r="G18" s="1038" t="s">
        <v>241</v>
      </c>
      <c r="H18" s="788"/>
      <c r="I18" s="491"/>
      <c r="J18" s="496"/>
    </row>
    <row r="19" spans="1:10" ht="25.35" customHeight="1" x14ac:dyDescent="0.2">
      <c r="A19" s="789" t="s">
        <v>1312</v>
      </c>
      <c r="B19" s="793" t="s">
        <v>1590</v>
      </c>
      <c r="C19" s="1038" t="s">
        <v>241</v>
      </c>
      <c r="D19" s="794"/>
      <c r="E19" s="796"/>
      <c r="F19" s="795"/>
      <c r="G19" s="1038" t="s">
        <v>241</v>
      </c>
      <c r="H19" s="788"/>
      <c r="I19" s="491"/>
      <c r="J19" s="496"/>
    </row>
    <row r="20" spans="1:10" ht="25.35" customHeight="1" x14ac:dyDescent="0.2">
      <c r="A20" s="789" t="s">
        <v>234</v>
      </c>
      <c r="B20" s="793" t="s">
        <v>1591</v>
      </c>
      <c r="C20" s="1038" t="s">
        <v>241</v>
      </c>
      <c r="D20" s="794"/>
      <c r="E20" s="797"/>
      <c r="F20" s="797"/>
      <c r="G20" s="1038" t="s">
        <v>241</v>
      </c>
      <c r="H20" s="788"/>
      <c r="I20" s="491"/>
      <c r="J20" s="496"/>
    </row>
    <row r="21" spans="1:10" ht="25.35" customHeight="1" x14ac:dyDescent="0.2">
      <c r="A21" s="789" t="s">
        <v>1314</v>
      </c>
      <c r="B21" s="790" t="s">
        <v>1592</v>
      </c>
      <c r="C21" s="1038" t="s">
        <v>241</v>
      </c>
      <c r="D21" s="794"/>
      <c r="E21" s="1087"/>
      <c r="F21" s="1087"/>
      <c r="G21" s="1038" t="s">
        <v>241</v>
      </c>
      <c r="H21" s="788"/>
      <c r="I21" s="491"/>
      <c r="J21" s="496"/>
    </row>
    <row r="22" spans="1:10" ht="21.75" customHeight="1" x14ac:dyDescent="0.2">
      <c r="A22" s="789" t="s">
        <v>869</v>
      </c>
      <c r="B22" s="793" t="s">
        <v>1593</v>
      </c>
      <c r="C22" s="1038" t="s">
        <v>241</v>
      </c>
      <c r="D22" s="794"/>
      <c r="E22" s="796"/>
      <c r="F22" s="795"/>
      <c r="G22" s="1038" t="s">
        <v>241</v>
      </c>
      <c r="H22" s="788"/>
      <c r="I22" s="491"/>
      <c r="J22" s="496"/>
    </row>
    <row r="23" spans="1:10" ht="35.85" customHeight="1" x14ac:dyDescent="0.2">
      <c r="A23" s="789" t="s">
        <v>877</v>
      </c>
      <c r="B23" s="798" t="s">
        <v>1594</v>
      </c>
      <c r="C23" s="1038" t="s">
        <v>241</v>
      </c>
      <c r="D23" s="794"/>
      <c r="E23" s="797"/>
      <c r="F23" s="797"/>
      <c r="G23" s="1038" t="s">
        <v>241</v>
      </c>
      <c r="H23" s="788"/>
      <c r="I23" s="491"/>
      <c r="J23" s="496"/>
    </row>
    <row r="24" spans="1:10" ht="25.35" customHeight="1" x14ac:dyDescent="0.2">
      <c r="A24" s="789" t="s">
        <v>1315</v>
      </c>
      <c r="B24" s="790" t="s">
        <v>1595</v>
      </c>
      <c r="C24" s="1038" t="s">
        <v>241</v>
      </c>
      <c r="D24" s="794"/>
      <c r="E24" s="1087"/>
      <c r="F24" s="1087"/>
      <c r="G24" s="1038" t="s">
        <v>241</v>
      </c>
      <c r="H24" s="788"/>
      <c r="I24" s="294" t="str">
        <f>IF(AND(P_CRSABIS_OPT.MELD!D80&lt;&gt;"N",D24&gt;=1250000),"ERROR","OK")</f>
        <v>OK</v>
      </c>
    </row>
    <row r="25" spans="1:10" ht="25.35" customHeight="1" x14ac:dyDescent="0.2">
      <c r="A25" s="804" t="s">
        <v>1322</v>
      </c>
      <c r="B25" s="799" t="s">
        <v>1978</v>
      </c>
      <c r="C25" s="791"/>
      <c r="D25" s="1087"/>
      <c r="E25" s="1087"/>
      <c r="F25" s="1087"/>
      <c r="G25" s="791"/>
      <c r="H25" s="788"/>
      <c r="I25" s="491"/>
      <c r="J25" s="496"/>
    </row>
    <row r="26" spans="1:10" ht="25.35" customHeight="1" x14ac:dyDescent="0.2">
      <c r="A26" s="804" t="s">
        <v>1189</v>
      </c>
      <c r="B26" s="793" t="s">
        <v>1596</v>
      </c>
      <c r="C26" s="1038" t="s">
        <v>241</v>
      </c>
      <c r="D26" s="794"/>
      <c r="E26" s="1087"/>
      <c r="F26" s="1087"/>
      <c r="G26" s="1038" t="s">
        <v>241</v>
      </c>
      <c r="H26" s="788"/>
      <c r="I26" s="491"/>
      <c r="J26" s="496"/>
    </row>
    <row r="27" spans="1:10" ht="25.35" customHeight="1" x14ac:dyDescent="0.2">
      <c r="A27" s="804" t="s">
        <v>1323</v>
      </c>
      <c r="B27" s="793" t="s">
        <v>1597</v>
      </c>
      <c r="C27" s="1038" t="s">
        <v>241</v>
      </c>
      <c r="D27" s="801"/>
      <c r="E27" s="1087"/>
      <c r="F27" s="1087"/>
      <c r="G27" s="1038" t="s">
        <v>241</v>
      </c>
      <c r="H27" s="788"/>
      <c r="I27" s="491"/>
      <c r="J27" s="496"/>
    </row>
    <row r="28" spans="1:10" ht="7.5" customHeight="1" x14ac:dyDescent="0.2">
      <c r="B28" s="800"/>
      <c r="C28" s="800"/>
      <c r="D28" s="800"/>
      <c r="E28" s="800"/>
      <c r="F28" s="802"/>
      <c r="G28" s="800"/>
      <c r="H28" s="788"/>
      <c r="I28" s="491"/>
      <c r="J28" s="496"/>
    </row>
    <row r="29" spans="1:10" ht="25.35" customHeight="1" x14ac:dyDescent="0.2">
      <c r="A29" s="803" t="s">
        <v>1324</v>
      </c>
      <c r="B29" s="786" t="s">
        <v>1598</v>
      </c>
      <c r="C29" s="787"/>
      <c r="D29" s="1087"/>
      <c r="E29" s="1087"/>
      <c r="F29" s="1087"/>
      <c r="G29" s="787"/>
      <c r="H29" s="788"/>
      <c r="I29" s="491"/>
      <c r="J29" s="496"/>
    </row>
    <row r="30" spans="1:10" ht="25.35" customHeight="1" x14ac:dyDescent="0.2">
      <c r="A30" s="804" t="s">
        <v>1325</v>
      </c>
      <c r="B30" s="793" t="s">
        <v>1599</v>
      </c>
      <c r="C30" s="1038" t="s">
        <v>241</v>
      </c>
      <c r="D30" s="792"/>
      <c r="E30" s="1087"/>
      <c r="F30" s="1087"/>
      <c r="G30" s="1038" t="s">
        <v>241</v>
      </c>
      <c r="H30" s="788"/>
      <c r="I30" s="491"/>
      <c r="J30" s="496"/>
    </row>
    <row r="31" spans="1:10" ht="25.35" customHeight="1" x14ac:dyDescent="0.2">
      <c r="A31" s="804" t="s">
        <v>1326</v>
      </c>
      <c r="B31" s="793" t="s">
        <v>1600</v>
      </c>
      <c r="C31" s="1038" t="s">
        <v>241</v>
      </c>
      <c r="D31" s="794"/>
      <c r="E31" s="1087"/>
      <c r="F31" s="1087"/>
      <c r="G31" s="1038" t="s">
        <v>241</v>
      </c>
      <c r="H31" s="788"/>
      <c r="I31" s="491"/>
      <c r="J31" s="496"/>
    </row>
    <row r="32" spans="1:10" ht="25.35" customHeight="1" x14ac:dyDescent="0.2">
      <c r="A32" s="804" t="s">
        <v>1327</v>
      </c>
      <c r="B32" s="793" t="s">
        <v>1601</v>
      </c>
      <c r="C32" s="1038" t="s">
        <v>241</v>
      </c>
      <c r="D32" s="794"/>
      <c r="E32" s="1087"/>
      <c r="F32" s="1087"/>
      <c r="G32" s="1038" t="s">
        <v>241</v>
      </c>
      <c r="H32" s="788"/>
      <c r="I32" s="491"/>
      <c r="J32" s="496"/>
    </row>
    <row r="33" spans="1:10" ht="25.35" customHeight="1" x14ac:dyDescent="0.2">
      <c r="A33" s="804" t="s">
        <v>1328</v>
      </c>
      <c r="B33" s="790" t="s">
        <v>1602</v>
      </c>
      <c r="C33" s="1038" t="s">
        <v>241</v>
      </c>
      <c r="D33" s="794"/>
      <c r="E33" s="1087"/>
      <c r="F33" s="1087"/>
      <c r="G33" s="1038" t="s">
        <v>241</v>
      </c>
      <c r="H33" s="788"/>
      <c r="I33" s="491"/>
      <c r="J33" s="496"/>
    </row>
    <row r="34" spans="1:10" ht="8.85" customHeight="1" x14ac:dyDescent="0.2">
      <c r="A34" s="805"/>
      <c r="B34" s="805"/>
      <c r="C34" s="806"/>
      <c r="D34" s="805"/>
      <c r="E34" s="805"/>
      <c r="F34" s="805"/>
      <c r="G34" s="806"/>
      <c r="H34" s="807"/>
    </row>
    <row r="35" spans="1:10" ht="18.75" customHeight="1" x14ac:dyDescent="0.2">
      <c r="A35" s="493"/>
      <c r="B35" s="493"/>
      <c r="C35" s="493"/>
      <c r="D35" s="493"/>
      <c r="E35" s="493"/>
      <c r="F35" s="493"/>
      <c r="G35" s="807"/>
      <c r="H35" s="807"/>
    </row>
    <row r="36" spans="1:10" ht="18.75" customHeight="1" x14ac:dyDescent="0.2"/>
    <row r="37" spans="1:10" x14ac:dyDescent="0.2">
      <c r="B37" s="496"/>
      <c r="C37" s="808"/>
      <c r="D37" s="496"/>
    </row>
  </sheetData>
  <phoneticPr fontId="7" type="noConversion"/>
  <printOptions gridLines="1" gridLinesSet="0"/>
  <pageMargins left="0.39370078740157483" right="0.39370078740157483" top="0.39370078740157483" bottom="0.39370078740157483" header="0.19685039370078741" footer="0.19685039370078741"/>
  <pageSetup paperSize="9" scale="53" orientation="portrait" horizontalDpi="4294967292" verticalDpi="4294967292" r:id="rId1"/>
  <headerFooter alignWithMargins="0">
    <oddFooter>&amp;L&amp;"Arial,Fett"SNB Confidential&amp;C&amp;D&amp;RPage &amp;P</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Tabelle36">
    <tabColor rgb="FF00B0F0"/>
    <pageSetUpPr fitToPage="1"/>
  </sheetPr>
  <dimension ref="A1:M75"/>
  <sheetViews>
    <sheetView workbookViewId="0">
      <selection activeCell="Q12" sqref="Q12"/>
    </sheetView>
  </sheetViews>
  <sheetFormatPr defaultColWidth="13.42578125" defaultRowHeight="12.75" x14ac:dyDescent="0.2"/>
  <cols>
    <col min="1" max="1" width="13" style="205" customWidth="1"/>
    <col min="2" max="2" width="32.5703125" style="350" customWidth="1"/>
    <col min="3" max="3" width="13.42578125" style="350" customWidth="1"/>
    <col min="4" max="4" width="15.5703125" style="350" customWidth="1"/>
    <col min="5" max="5" width="10.5703125" style="350" customWidth="1"/>
    <col min="6" max="6" width="15.5703125" style="350" customWidth="1"/>
    <col min="7" max="7" width="18.42578125" style="350" customWidth="1"/>
    <col min="8" max="8" width="1.5703125" style="350" customWidth="1"/>
    <col min="9" max="9" width="21.5703125" style="350" customWidth="1"/>
    <col min="10" max="10" width="4.5703125" style="350" customWidth="1"/>
    <col min="11" max="11" width="13" style="1346" customWidth="1"/>
    <col min="12" max="16384" width="13.42578125" style="1346"/>
  </cols>
  <sheetData>
    <row r="1" spans="1:12" ht="25.35" customHeight="1" x14ac:dyDescent="0.2">
      <c r="H1" s="1221" t="s">
        <v>100</v>
      </c>
      <c r="I1" s="1222" t="s">
        <v>191</v>
      </c>
    </row>
    <row r="2" spans="1:12" ht="25.35" customHeight="1" x14ac:dyDescent="0.2">
      <c r="A2" s="206"/>
      <c r="B2" s="84"/>
      <c r="H2" s="1221" t="s">
        <v>98</v>
      </c>
      <c r="I2" s="1223" t="s">
        <v>119</v>
      </c>
    </row>
    <row r="3" spans="1:12" ht="25.35" customHeight="1" x14ac:dyDescent="0.2">
      <c r="H3" s="1221" t="s">
        <v>96</v>
      </c>
      <c r="I3" s="1224" t="s">
        <v>121</v>
      </c>
    </row>
    <row r="4" spans="1:12" ht="18" x14ac:dyDescent="0.2">
      <c r="A4" s="206"/>
      <c r="D4" s="1769" t="s">
        <v>192</v>
      </c>
      <c r="F4" s="1767"/>
      <c r="G4" s="1767"/>
    </row>
    <row r="5" spans="1:12" ht="25.35" customHeight="1" x14ac:dyDescent="0.2">
      <c r="B5" s="106" t="s">
        <v>2250</v>
      </c>
      <c r="D5" s="1768" t="s">
        <v>99</v>
      </c>
      <c r="F5" s="1768"/>
      <c r="G5" s="1768"/>
    </row>
    <row r="6" spans="1:12" ht="18.75" customHeight="1" x14ac:dyDescent="0.2">
      <c r="D6" s="350" t="s">
        <v>94</v>
      </c>
      <c r="H6" s="1221"/>
      <c r="I6" s="1221"/>
    </row>
    <row r="7" spans="1:12" ht="8.85" customHeight="1" x14ac:dyDescent="0.2">
      <c r="G7" s="1221"/>
      <c r="H7" s="1221"/>
    </row>
    <row r="8" spans="1:12" ht="16.350000000000001" customHeight="1" x14ac:dyDescent="0.2">
      <c r="B8" s="197"/>
      <c r="C8" s="1225"/>
      <c r="J8" s="74"/>
      <c r="K8" s="1243"/>
      <c r="L8" s="1243"/>
    </row>
    <row r="9" spans="1:12" ht="22.5" customHeight="1" x14ac:dyDescent="0.2">
      <c r="A9" s="208"/>
      <c r="B9" s="1219" t="s">
        <v>193</v>
      </c>
      <c r="C9" s="1226"/>
      <c r="D9" s="1219"/>
      <c r="E9" s="1219"/>
      <c r="F9" s="1219"/>
      <c r="G9" s="1219"/>
      <c r="H9" s="1220"/>
      <c r="I9" s="210" t="s">
        <v>194</v>
      </c>
      <c r="J9" s="1227"/>
      <c r="K9" s="1347"/>
      <c r="L9" s="1346" t="s">
        <v>195</v>
      </c>
    </row>
    <row r="10" spans="1:12" ht="18.75" customHeight="1" x14ac:dyDescent="0.2">
      <c r="A10" s="211"/>
      <c r="B10" s="74"/>
      <c r="C10" s="74"/>
      <c r="D10" s="74"/>
      <c r="E10" s="74"/>
      <c r="F10" s="74"/>
      <c r="G10" s="1228"/>
      <c r="H10" s="1229"/>
      <c r="I10" s="1230" t="s">
        <v>22</v>
      </c>
      <c r="J10" s="1231"/>
      <c r="K10" s="1347"/>
      <c r="L10" s="1348"/>
    </row>
    <row r="11" spans="1:12" ht="6.6" customHeight="1" x14ac:dyDescent="0.2">
      <c r="A11" s="206"/>
      <c r="B11" s="1674"/>
      <c r="C11" s="1674"/>
      <c r="D11" s="1674"/>
      <c r="E11" s="1674"/>
      <c r="F11" s="1674"/>
      <c r="G11" s="1674"/>
      <c r="H11" s="83"/>
      <c r="I11" s="1232"/>
      <c r="J11" s="1233"/>
      <c r="K11" s="1347"/>
    </row>
    <row r="12" spans="1:12" ht="22.5" customHeight="1" thickBot="1" x14ac:dyDescent="0.25">
      <c r="A12" s="1234">
        <v>1</v>
      </c>
      <c r="B12" s="1751" t="s">
        <v>196</v>
      </c>
      <c r="C12" s="1751"/>
      <c r="D12" s="1751"/>
      <c r="E12" s="1751"/>
      <c r="F12" s="1751"/>
      <c r="G12" s="1751"/>
      <c r="H12" s="83"/>
      <c r="I12" s="1235">
        <f>SUM(I13:I24)</f>
        <v>837000000</v>
      </c>
      <c r="J12" s="1233">
        <v>13</v>
      </c>
      <c r="K12" s="1347"/>
      <c r="L12" s="1349" t="str">
        <f>IF(I12&gt;=0,"OK","ERROR")</f>
        <v>OK</v>
      </c>
    </row>
    <row r="13" spans="1:12" ht="22.5" customHeight="1" thickTop="1" x14ac:dyDescent="0.2">
      <c r="A13" s="218" t="s">
        <v>197</v>
      </c>
      <c r="B13" s="1746" t="s">
        <v>198</v>
      </c>
      <c r="C13" s="1746"/>
      <c r="D13" s="1746"/>
      <c r="E13" s="1746"/>
      <c r="F13" s="1746"/>
      <c r="G13" s="1746"/>
      <c r="H13" s="83"/>
      <c r="I13" s="1236">
        <v>828000000</v>
      </c>
      <c r="J13" s="1233">
        <v>14</v>
      </c>
      <c r="K13" s="1347"/>
      <c r="L13" s="1349" t="str">
        <f>IF(I13&gt;0,"OK","ERROR")</f>
        <v>OK</v>
      </c>
    </row>
    <row r="14" spans="1:12" ht="36.6" customHeight="1" x14ac:dyDescent="0.2">
      <c r="A14" s="218" t="s">
        <v>199</v>
      </c>
      <c r="B14" s="1752" t="s">
        <v>1338</v>
      </c>
      <c r="C14" s="1752"/>
      <c r="D14" s="1752"/>
      <c r="E14" s="1752"/>
      <c r="F14" s="1752"/>
      <c r="G14" s="1752"/>
      <c r="H14" s="83"/>
      <c r="I14" s="1236">
        <v>-17000000</v>
      </c>
      <c r="J14" s="1233">
        <v>15</v>
      </c>
      <c r="K14" s="1347"/>
      <c r="L14" s="1349" t="str">
        <f>IF(I14&lt;=0,"OK","ERROR")</f>
        <v>OK</v>
      </c>
    </row>
    <row r="15" spans="1:12" ht="22.5" customHeight="1" x14ac:dyDescent="0.2">
      <c r="A15" s="230" t="s">
        <v>200</v>
      </c>
      <c r="B15" s="1739" t="s">
        <v>1339</v>
      </c>
      <c r="C15" s="1739"/>
      <c r="D15" s="1739"/>
      <c r="E15" s="1739"/>
      <c r="F15" s="1739"/>
      <c r="G15" s="1739"/>
      <c r="H15" s="1237"/>
      <c r="I15" s="1238"/>
      <c r="J15" s="1239" t="s">
        <v>241</v>
      </c>
      <c r="K15" s="1347"/>
      <c r="L15" s="1349" t="str">
        <f t="shared" ref="L15:L16" si="0">IF(I15&lt;=0,"OK","ERROR")</f>
        <v>OK</v>
      </c>
    </row>
    <row r="16" spans="1:12" ht="22.5" customHeight="1" x14ac:dyDescent="0.2">
      <c r="A16" s="230" t="s">
        <v>201</v>
      </c>
      <c r="B16" s="1739" t="s">
        <v>2032</v>
      </c>
      <c r="C16" s="1739"/>
      <c r="D16" s="1739"/>
      <c r="E16" s="1739"/>
      <c r="F16" s="1739"/>
      <c r="G16" s="1739"/>
      <c r="H16" s="1237"/>
      <c r="I16" s="1238"/>
      <c r="J16" s="1239" t="s">
        <v>241</v>
      </c>
      <c r="K16" s="1347"/>
      <c r="L16" s="1349" t="str">
        <f t="shared" si="0"/>
        <v>OK</v>
      </c>
    </row>
    <row r="17" spans="1:13" ht="37.5" customHeight="1" x14ac:dyDescent="0.2">
      <c r="A17" s="508" t="s">
        <v>1677</v>
      </c>
      <c r="B17" s="1743" t="s">
        <v>1337</v>
      </c>
      <c r="C17" s="1744"/>
      <c r="D17" s="1744"/>
      <c r="E17" s="1744"/>
      <c r="F17" s="1744"/>
      <c r="G17" s="1744"/>
      <c r="H17" s="83"/>
      <c r="I17" s="1236">
        <v>0</v>
      </c>
      <c r="J17" s="1233">
        <v>16</v>
      </c>
      <c r="K17" s="1347"/>
      <c r="L17" s="1349" t="str">
        <f>IF(I17&lt;=0,"OK","ERROR")</f>
        <v>OK</v>
      </c>
    </row>
    <row r="18" spans="1:13" ht="22.5" customHeight="1" x14ac:dyDescent="0.2">
      <c r="A18" s="230" t="s">
        <v>2011</v>
      </c>
      <c r="B18" s="1739" t="s">
        <v>2033</v>
      </c>
      <c r="C18" s="1739"/>
      <c r="D18" s="1739"/>
      <c r="E18" s="1739"/>
      <c r="F18" s="1739"/>
      <c r="G18" s="1739"/>
      <c r="H18" s="1237"/>
      <c r="I18" s="1238"/>
      <c r="J18" s="1239" t="s">
        <v>241</v>
      </c>
      <c r="K18" s="1347"/>
    </row>
    <row r="19" spans="1:13" ht="22.5" customHeight="1" x14ac:dyDescent="0.2">
      <c r="A19" s="508">
        <v>1.7</v>
      </c>
      <c r="B19" s="1739" t="s">
        <v>1340</v>
      </c>
      <c r="C19" s="1739"/>
      <c r="D19" s="1739"/>
      <c r="E19" s="1739"/>
      <c r="F19" s="1739"/>
      <c r="G19" s="1739"/>
      <c r="H19" s="1237"/>
      <c r="I19" s="1238"/>
      <c r="J19" s="1239" t="s">
        <v>241</v>
      </c>
      <c r="K19" s="1347"/>
    </row>
    <row r="20" spans="1:13" ht="22.5" customHeight="1" x14ac:dyDescent="0.2">
      <c r="A20" s="508" t="s">
        <v>1333</v>
      </c>
      <c r="B20" s="1735" t="s">
        <v>202</v>
      </c>
      <c r="C20" s="1736"/>
      <c r="D20" s="1736"/>
      <c r="E20" s="1736"/>
      <c r="F20" s="1736"/>
      <c r="G20" s="1736"/>
      <c r="H20" s="83"/>
      <c r="I20" s="1236">
        <v>73000000</v>
      </c>
      <c r="J20" s="1233">
        <v>17</v>
      </c>
      <c r="K20" s="1347"/>
    </row>
    <row r="21" spans="1:13" ht="22.5" customHeight="1" x14ac:dyDescent="0.2">
      <c r="A21" s="508" t="s">
        <v>1334</v>
      </c>
      <c r="B21" s="1735" t="s">
        <v>203</v>
      </c>
      <c r="C21" s="1736"/>
      <c r="D21" s="1736"/>
      <c r="E21" s="1736"/>
      <c r="F21" s="1736"/>
      <c r="G21" s="1736"/>
      <c r="H21" s="83"/>
      <c r="I21" s="1240">
        <v>-30000000</v>
      </c>
      <c r="J21" s="1233">
        <v>18</v>
      </c>
      <c r="K21" s="1347"/>
    </row>
    <row r="22" spans="1:13" ht="22.5" customHeight="1" x14ac:dyDescent="0.2">
      <c r="A22" s="508" t="s">
        <v>1335</v>
      </c>
      <c r="B22" s="1735" t="s">
        <v>204</v>
      </c>
      <c r="C22" s="1736"/>
      <c r="D22" s="1736"/>
      <c r="E22" s="1736"/>
      <c r="F22" s="1736"/>
      <c r="G22" s="1736"/>
      <c r="H22" s="83"/>
      <c r="I22" s="1236">
        <v>83000000</v>
      </c>
      <c r="J22" s="1233">
        <v>19</v>
      </c>
      <c r="K22" s="1347"/>
      <c r="L22" s="1349" t="str">
        <f>IF(I22&gt;=0,"OK","ERROR")</f>
        <v>OK</v>
      </c>
    </row>
    <row r="23" spans="1:13" ht="22.5" customHeight="1" x14ac:dyDescent="0.2">
      <c r="A23" s="230" t="s">
        <v>1336</v>
      </c>
      <c r="B23" s="1753" t="s">
        <v>1341</v>
      </c>
      <c r="C23" s="1754"/>
      <c r="D23" s="1754"/>
      <c r="E23" s="1754"/>
      <c r="F23" s="1754"/>
      <c r="G23" s="1754"/>
      <c r="H23" s="1237"/>
      <c r="I23" s="1238"/>
      <c r="J23" s="1239" t="s">
        <v>241</v>
      </c>
      <c r="K23" s="1347"/>
      <c r="L23" s="1349" t="str">
        <f t="shared" ref="L23" si="1">IF(I23&lt;=0,"OK","ERROR")</f>
        <v>OK</v>
      </c>
    </row>
    <row r="24" spans="1:13" ht="22.5" customHeight="1" x14ac:dyDescent="0.2">
      <c r="A24" s="508" t="s">
        <v>2028</v>
      </c>
      <c r="B24" s="1735" t="s">
        <v>205</v>
      </c>
      <c r="C24" s="1736"/>
      <c r="D24" s="1736"/>
      <c r="E24" s="1736"/>
      <c r="F24" s="1736"/>
      <c r="G24" s="1736"/>
      <c r="H24" s="83"/>
      <c r="I24" s="1236">
        <v>-100000000</v>
      </c>
      <c r="J24" s="1233">
        <v>20</v>
      </c>
      <c r="K24" s="1347"/>
    </row>
    <row r="25" spans="1:13" ht="7.5" customHeight="1" x14ac:dyDescent="0.2">
      <c r="A25" s="233"/>
      <c r="B25" s="1738"/>
      <c r="C25" s="1738"/>
      <c r="D25" s="1738"/>
      <c r="E25" s="1738"/>
      <c r="F25" s="1738"/>
      <c r="G25" s="1738"/>
      <c r="H25" s="74"/>
      <c r="I25" s="1241"/>
      <c r="J25" s="1242"/>
      <c r="K25" s="1243"/>
      <c r="L25" s="1350"/>
      <c r="M25" s="1243"/>
    </row>
    <row r="26" spans="1:13" ht="7.5" customHeight="1" x14ac:dyDescent="0.2">
      <c r="A26" s="218"/>
      <c r="B26" s="1243"/>
      <c r="C26" s="1243"/>
      <c r="D26" s="1243"/>
      <c r="E26" s="1243"/>
      <c r="F26" s="1243"/>
      <c r="G26" s="1243"/>
      <c r="H26" s="84"/>
      <c r="I26" s="1232"/>
      <c r="J26" s="1233"/>
      <c r="K26" s="1243"/>
      <c r="L26" s="1350"/>
      <c r="M26" s="1243"/>
    </row>
    <row r="27" spans="1:13" ht="22.5" customHeight="1" thickBot="1" x14ac:dyDescent="0.25">
      <c r="A27" s="1401">
        <v>2</v>
      </c>
      <c r="B27" s="1741" t="s">
        <v>206</v>
      </c>
      <c r="C27" s="1741"/>
      <c r="D27" s="1741"/>
      <c r="E27" s="1741"/>
      <c r="F27" s="1741"/>
      <c r="G27" s="1741"/>
      <c r="H27" s="83"/>
      <c r="I27" s="1402">
        <f>I28+I35+I43+I48+I52</f>
        <v>810000000</v>
      </c>
      <c r="J27" s="1233">
        <v>21</v>
      </c>
      <c r="K27" s="1347"/>
      <c r="L27" s="1349" t="str">
        <f>IF(I27=I12,"OK","ERROR")</f>
        <v>ERROR</v>
      </c>
      <c r="M27" s="1351"/>
    </row>
    <row r="28" spans="1:13" ht="22.5" customHeight="1" thickTop="1" thickBot="1" x14ac:dyDescent="0.25">
      <c r="A28" s="224">
        <v>2.1</v>
      </c>
      <c r="B28" s="1734" t="s">
        <v>208</v>
      </c>
      <c r="C28" s="1734"/>
      <c r="D28" s="1734"/>
      <c r="E28" s="1734"/>
      <c r="F28" s="1734"/>
      <c r="G28" s="1734"/>
      <c r="H28" s="83"/>
      <c r="I28" s="1235">
        <f>SUM(I29:I34)</f>
        <v>518000000</v>
      </c>
      <c r="J28" s="1233">
        <v>22</v>
      </c>
      <c r="K28" s="1347"/>
      <c r="L28" s="1349" t="str">
        <f>IF(I28&gt;=0,"OK","ERROR")</f>
        <v>OK</v>
      </c>
    </row>
    <row r="29" spans="1:13" ht="22.5" customHeight="1" thickTop="1" x14ac:dyDescent="0.2">
      <c r="A29" s="225" t="s">
        <v>209</v>
      </c>
      <c r="B29" s="1735" t="s">
        <v>210</v>
      </c>
      <c r="C29" s="1736"/>
      <c r="D29" s="1736"/>
      <c r="E29" s="1736"/>
      <c r="F29" s="1736"/>
      <c r="G29" s="1736"/>
      <c r="H29" s="83"/>
      <c r="I29" s="1240">
        <v>528000000</v>
      </c>
      <c r="J29" s="1233">
        <v>23</v>
      </c>
      <c r="K29" s="1347"/>
      <c r="L29" s="1349" t="str">
        <f>IF(I29&gt;0,"OK","ERROR")</f>
        <v>OK</v>
      </c>
    </row>
    <row r="30" spans="1:13" ht="36.6" customHeight="1" x14ac:dyDescent="0.2">
      <c r="A30" s="1400" t="s">
        <v>211</v>
      </c>
      <c r="B30" s="1750" t="s">
        <v>1346</v>
      </c>
      <c r="C30" s="1750"/>
      <c r="D30" s="1750"/>
      <c r="E30" s="1750"/>
      <c r="F30" s="1750"/>
      <c r="G30" s="1750"/>
      <c r="H30" s="349"/>
      <c r="I30" s="1399"/>
      <c r="J30" s="1233">
        <v>28</v>
      </c>
      <c r="K30" s="1347"/>
      <c r="L30" s="1349" t="str">
        <f>IF(I30&gt;=0,"OK","ERROR")</f>
        <v>OK</v>
      </c>
    </row>
    <row r="31" spans="1:13" ht="22.5" customHeight="1" x14ac:dyDescent="0.2">
      <c r="A31" s="1400" t="s">
        <v>1343</v>
      </c>
      <c r="B31" s="1750" t="s">
        <v>1347</v>
      </c>
      <c r="C31" s="1750"/>
      <c r="D31" s="1750"/>
      <c r="E31" s="1750"/>
      <c r="F31" s="1750"/>
      <c r="G31" s="1750"/>
      <c r="H31" s="349"/>
      <c r="I31" s="1399"/>
      <c r="J31" s="1233">
        <v>29</v>
      </c>
      <c r="K31" s="1347"/>
      <c r="L31" s="1349" t="str">
        <f t="shared" ref="L31:L33" si="2">IF(I31&lt;=0,"OK","ERROR")</f>
        <v>OK</v>
      </c>
    </row>
    <row r="32" spans="1:13" ht="22.5" customHeight="1" x14ac:dyDescent="0.2">
      <c r="A32" s="506" t="s">
        <v>1344</v>
      </c>
      <c r="B32" s="1739" t="s">
        <v>1348</v>
      </c>
      <c r="C32" s="1739"/>
      <c r="D32" s="1739"/>
      <c r="E32" s="1739"/>
      <c r="F32" s="1739"/>
      <c r="G32" s="1739"/>
      <c r="H32" s="1237"/>
      <c r="I32" s="1244"/>
      <c r="J32" s="1239" t="s">
        <v>241</v>
      </c>
      <c r="K32" s="1347"/>
      <c r="L32" s="1349" t="str">
        <f t="shared" si="2"/>
        <v>OK</v>
      </c>
    </row>
    <row r="33" spans="1:12" ht="22.5" customHeight="1" x14ac:dyDescent="0.2">
      <c r="A33" s="1218" t="s">
        <v>1902</v>
      </c>
      <c r="B33" s="1739" t="s">
        <v>1349</v>
      </c>
      <c r="C33" s="1739"/>
      <c r="D33" s="1739"/>
      <c r="E33" s="1739"/>
      <c r="F33" s="1739"/>
      <c r="G33" s="1739"/>
      <c r="H33" s="1237"/>
      <c r="I33" s="1244"/>
      <c r="J33" s="1239" t="s">
        <v>241</v>
      </c>
      <c r="K33" s="1347"/>
      <c r="L33" s="1349" t="str">
        <f t="shared" si="2"/>
        <v>OK</v>
      </c>
    </row>
    <row r="34" spans="1:12" ht="22.5" customHeight="1" x14ac:dyDescent="0.2">
      <c r="A34" s="507" t="s">
        <v>2012</v>
      </c>
      <c r="B34" s="1743" t="s">
        <v>1345</v>
      </c>
      <c r="C34" s="1744"/>
      <c r="D34" s="1744"/>
      <c r="E34" s="1744"/>
      <c r="F34" s="1744"/>
      <c r="G34" s="1744"/>
      <c r="H34" s="83"/>
      <c r="I34" s="1240">
        <v>-10000000</v>
      </c>
      <c r="J34" s="1233">
        <v>24</v>
      </c>
      <c r="K34" s="1347"/>
      <c r="L34" s="1349" t="str">
        <f>IF(I34&lt;=0,"OK","ERROR")</f>
        <v>OK</v>
      </c>
    </row>
    <row r="35" spans="1:12" ht="22.5" customHeight="1" thickBot="1" x14ac:dyDescent="0.25">
      <c r="A35" s="224" t="s">
        <v>212</v>
      </c>
      <c r="B35" s="1745" t="s">
        <v>213</v>
      </c>
      <c r="C35" s="1745"/>
      <c r="D35" s="1745"/>
      <c r="E35" s="1745"/>
      <c r="F35" s="1745"/>
      <c r="G35" s="1745"/>
      <c r="H35" s="83"/>
      <c r="I35" s="1235">
        <f>SUM(I36:I42)</f>
        <v>99000000</v>
      </c>
      <c r="J35" s="1233">
        <v>25</v>
      </c>
      <c r="K35" s="1347"/>
    </row>
    <row r="36" spans="1:12" ht="37.5" customHeight="1" thickTop="1" x14ac:dyDescent="0.2">
      <c r="A36" s="218" t="s">
        <v>214</v>
      </c>
      <c r="B36" s="1746" t="s">
        <v>215</v>
      </c>
      <c r="C36" s="1746"/>
      <c r="D36" s="1746"/>
      <c r="E36" s="1746"/>
      <c r="F36" s="1746"/>
      <c r="G36" s="1746"/>
      <c r="H36" s="83"/>
      <c r="I36" s="1236">
        <v>32000000</v>
      </c>
      <c r="J36" s="1233">
        <v>26</v>
      </c>
      <c r="K36" s="1347"/>
      <c r="L36" s="1349" t="str">
        <f>IF(I36&gt;=0,"OK","ERROR")</f>
        <v>OK</v>
      </c>
    </row>
    <row r="37" spans="1:12" ht="37.5" customHeight="1" x14ac:dyDescent="0.2">
      <c r="A37" s="218" t="s">
        <v>216</v>
      </c>
      <c r="B37" s="1735" t="s">
        <v>217</v>
      </c>
      <c r="C37" s="1736"/>
      <c r="D37" s="1736"/>
      <c r="E37" s="1736"/>
      <c r="F37" s="1736"/>
      <c r="G37" s="1736"/>
      <c r="H37" s="83"/>
      <c r="I37" s="1240">
        <v>70000000</v>
      </c>
      <c r="J37" s="1233">
        <v>27</v>
      </c>
      <c r="K37" s="1347"/>
      <c r="L37" s="1349" t="str">
        <f>IF(I37&gt;=0,"OK","ERROR")</f>
        <v>OK</v>
      </c>
    </row>
    <row r="38" spans="1:12" ht="22.5" customHeight="1" x14ac:dyDescent="0.2">
      <c r="A38" s="509" t="s">
        <v>218</v>
      </c>
      <c r="B38" s="1747" t="s">
        <v>219</v>
      </c>
      <c r="C38" s="1747"/>
      <c r="D38" s="1747"/>
      <c r="E38" s="1747"/>
      <c r="F38" s="1747"/>
      <c r="G38" s="1747"/>
      <c r="H38" s="1245"/>
      <c r="I38" s="1246">
        <v>26000000</v>
      </c>
      <c r="J38" s="1247">
        <v>28</v>
      </c>
      <c r="K38" s="1347"/>
      <c r="L38" s="1349" t="str">
        <f>IF(I38&gt;=0,"OK","ERROR")</f>
        <v>OK</v>
      </c>
    </row>
    <row r="39" spans="1:12" ht="22.5" customHeight="1" x14ac:dyDescent="0.2">
      <c r="A39" s="509" t="s">
        <v>220</v>
      </c>
      <c r="B39" s="1748" t="s">
        <v>221</v>
      </c>
      <c r="C39" s="1749"/>
      <c r="D39" s="1749"/>
      <c r="E39" s="1749"/>
      <c r="F39" s="1749"/>
      <c r="G39" s="1749"/>
      <c r="H39" s="1245"/>
      <c r="I39" s="1248">
        <v>-25000000</v>
      </c>
      <c r="J39" s="1247">
        <v>29</v>
      </c>
      <c r="K39" s="1347"/>
      <c r="L39" s="1349" t="str">
        <f>IF(I39&lt;=0,"OK","ERROR")</f>
        <v>OK</v>
      </c>
    </row>
    <row r="40" spans="1:12" ht="22.5" customHeight="1" x14ac:dyDescent="0.2">
      <c r="A40" s="508" t="s">
        <v>2013</v>
      </c>
      <c r="B40" s="1735" t="s">
        <v>222</v>
      </c>
      <c r="C40" s="1736"/>
      <c r="D40" s="1736"/>
      <c r="E40" s="1736"/>
      <c r="F40" s="1736"/>
      <c r="G40" s="1736"/>
      <c r="H40" s="83"/>
      <c r="I40" s="1240">
        <v>-11000000</v>
      </c>
      <c r="J40" s="1233">
        <v>30</v>
      </c>
      <c r="K40" s="1347"/>
      <c r="L40" s="1349" t="str">
        <f>IF(I40&lt;=0,"OK","ERROR")</f>
        <v>OK</v>
      </c>
    </row>
    <row r="41" spans="1:12" ht="22.5" customHeight="1" x14ac:dyDescent="0.2">
      <c r="A41" s="508" t="s">
        <v>2014</v>
      </c>
      <c r="B41" s="1735" t="s">
        <v>223</v>
      </c>
      <c r="C41" s="1736"/>
      <c r="D41" s="1736"/>
      <c r="E41" s="1736"/>
      <c r="F41" s="1736"/>
      <c r="G41" s="1736"/>
      <c r="H41" s="83"/>
      <c r="I41" s="1240">
        <v>223000000</v>
      </c>
      <c r="J41" s="1233">
        <v>31</v>
      </c>
      <c r="K41" s="1347"/>
      <c r="L41" s="1349" t="str">
        <f>IF(AND(I41&gt;=0,I41&gt;=-1*I42),"OK","ERROR")</f>
        <v>OK</v>
      </c>
    </row>
    <row r="42" spans="1:12" ht="22.5" customHeight="1" x14ac:dyDescent="0.2">
      <c r="A42" s="508" t="s">
        <v>2015</v>
      </c>
      <c r="B42" s="1735" t="s">
        <v>224</v>
      </c>
      <c r="C42" s="1736"/>
      <c r="D42" s="1736"/>
      <c r="E42" s="1736"/>
      <c r="F42" s="1736"/>
      <c r="G42" s="1736"/>
      <c r="H42" s="83"/>
      <c r="I42" s="1240">
        <v>-216000000</v>
      </c>
      <c r="J42" s="1233">
        <v>32</v>
      </c>
      <c r="K42" s="1347"/>
      <c r="L42" s="1349" t="str">
        <f>IF(I42&lt;=0,"OK","ERROR")</f>
        <v>OK</v>
      </c>
    </row>
    <row r="43" spans="1:12" ht="22.5" customHeight="1" thickBot="1" x14ac:dyDescent="0.25">
      <c r="A43" s="226" t="s">
        <v>1312</v>
      </c>
      <c r="B43" s="1740" t="s">
        <v>2016</v>
      </c>
      <c r="C43" s="1740"/>
      <c r="D43" s="1740"/>
      <c r="E43" s="1740"/>
      <c r="F43" s="1740"/>
      <c r="G43" s="1740"/>
      <c r="H43" s="83"/>
      <c r="I43" s="1235">
        <f>SUM(I44:I47)</f>
        <v>136000000</v>
      </c>
      <c r="J43" s="1233">
        <v>33</v>
      </c>
      <c r="K43" s="1347"/>
      <c r="L43" s="1349" t="str">
        <f>IF(I43&gt;=0,"OK","ERROR")</f>
        <v>OK</v>
      </c>
    </row>
    <row r="44" spans="1:12" ht="22.5" customHeight="1" thickTop="1" x14ac:dyDescent="0.2">
      <c r="A44" s="218" t="s">
        <v>225</v>
      </c>
      <c r="B44" s="1735" t="s">
        <v>226</v>
      </c>
      <c r="C44" s="1735"/>
      <c r="D44" s="1735"/>
      <c r="E44" s="1735"/>
      <c r="F44" s="1735"/>
      <c r="G44" s="1735"/>
      <c r="H44" s="83"/>
      <c r="I44" s="1236">
        <v>135000000</v>
      </c>
      <c r="J44" s="1233">
        <v>34</v>
      </c>
      <c r="K44" s="1347"/>
      <c r="L44" s="1349" t="str">
        <f>IF(I44&gt;=0,"OK","ERROR")</f>
        <v>OK</v>
      </c>
    </row>
    <row r="45" spans="1:12" ht="22.5" customHeight="1" x14ac:dyDescent="0.2">
      <c r="A45" s="218" t="s">
        <v>227</v>
      </c>
      <c r="B45" s="1735" t="s">
        <v>228</v>
      </c>
      <c r="C45" s="1736"/>
      <c r="D45" s="1736"/>
      <c r="E45" s="1736"/>
      <c r="F45" s="1736"/>
      <c r="G45" s="1736"/>
      <c r="H45" s="83"/>
      <c r="I45" s="1240">
        <v>-12000000</v>
      </c>
      <c r="J45" s="1233">
        <v>35</v>
      </c>
      <c r="K45" s="1347"/>
      <c r="L45" s="1349" t="str">
        <f>IF(I45&lt;=0,"OK","ERROR")</f>
        <v>OK</v>
      </c>
    </row>
    <row r="46" spans="1:12" ht="22.5" customHeight="1" x14ac:dyDescent="0.2">
      <c r="A46" s="218" t="s">
        <v>229</v>
      </c>
      <c r="B46" s="1735" t="s">
        <v>230</v>
      </c>
      <c r="C46" s="1736"/>
      <c r="D46" s="1736"/>
      <c r="E46" s="1736"/>
      <c r="F46" s="1736"/>
      <c r="G46" s="1736"/>
      <c r="H46" s="83"/>
      <c r="I46" s="1240">
        <v>13000000</v>
      </c>
      <c r="J46" s="1233">
        <v>36</v>
      </c>
      <c r="K46" s="1347"/>
      <c r="L46" s="1349" t="str">
        <f>IF(I46&gt;=0,"OK","ERROR")</f>
        <v>OK</v>
      </c>
    </row>
    <row r="47" spans="1:12" ht="22.5" customHeight="1" x14ac:dyDescent="0.2">
      <c r="A47" s="218" t="s">
        <v>231</v>
      </c>
      <c r="B47" s="1735" t="s">
        <v>232</v>
      </c>
      <c r="C47" s="1736"/>
      <c r="D47" s="1736"/>
      <c r="E47" s="1736"/>
      <c r="F47" s="1736"/>
      <c r="G47" s="1736"/>
      <c r="H47" s="83"/>
      <c r="I47" s="1240">
        <v>0</v>
      </c>
      <c r="J47" s="1233">
        <v>37</v>
      </c>
      <c r="K47" s="1347"/>
      <c r="L47" s="1349" t="str">
        <f>IF(I47&gt;=0,"OK","ERROR")</f>
        <v>OK</v>
      </c>
    </row>
    <row r="48" spans="1:12" ht="22.5" customHeight="1" thickBot="1" x14ac:dyDescent="0.25">
      <c r="A48" s="224" t="s">
        <v>234</v>
      </c>
      <c r="B48" s="1734" t="s">
        <v>235</v>
      </c>
      <c r="C48" s="1734"/>
      <c r="D48" s="1734"/>
      <c r="E48" s="1734"/>
      <c r="F48" s="1734"/>
      <c r="G48" s="1734"/>
      <c r="H48" s="83"/>
      <c r="I48" s="1235">
        <f>SUM(I49:I50)</f>
        <v>83000000</v>
      </c>
      <c r="J48" s="1233">
        <v>38</v>
      </c>
      <c r="K48" s="1347"/>
      <c r="L48" s="1349" t="str">
        <f>IF(I48&gt;=0,"OK","ERROR")</f>
        <v>OK</v>
      </c>
    </row>
    <row r="49" spans="1:13" ht="22.5" customHeight="1" thickTop="1" x14ac:dyDescent="0.2">
      <c r="A49" s="218" t="s">
        <v>236</v>
      </c>
      <c r="B49" s="1735" t="s">
        <v>237</v>
      </c>
      <c r="C49" s="1736"/>
      <c r="D49" s="1736"/>
      <c r="E49" s="1736"/>
      <c r="F49" s="1736"/>
      <c r="G49" s="1736"/>
      <c r="H49" s="83"/>
      <c r="I49" s="1240">
        <v>260000000</v>
      </c>
      <c r="J49" s="1233">
        <v>39</v>
      </c>
      <c r="K49" s="1347"/>
      <c r="L49" s="1349" t="str">
        <f>IF(I49&gt;=0,"OK","ERROR")</f>
        <v>OK</v>
      </c>
    </row>
    <row r="50" spans="1:13" ht="22.5" customHeight="1" x14ac:dyDescent="0.2">
      <c r="A50" s="218" t="s">
        <v>238</v>
      </c>
      <c r="B50" s="1735" t="s">
        <v>239</v>
      </c>
      <c r="C50" s="1736"/>
      <c r="D50" s="1736"/>
      <c r="E50" s="1736"/>
      <c r="F50" s="1736"/>
      <c r="G50" s="1736"/>
      <c r="H50" s="83"/>
      <c r="I50" s="1240">
        <v>-177000000</v>
      </c>
      <c r="J50" s="1233">
        <v>40</v>
      </c>
      <c r="K50" s="1347"/>
      <c r="L50" s="1349" t="str">
        <f>IF(I50&lt;=0,"OK","ERROR")</f>
        <v>OK</v>
      </c>
    </row>
    <row r="51" spans="1:13" ht="22.5" customHeight="1" x14ac:dyDescent="0.2">
      <c r="A51" s="230" t="s">
        <v>843</v>
      </c>
      <c r="B51" s="1739" t="s">
        <v>1342</v>
      </c>
      <c r="C51" s="1739"/>
      <c r="D51" s="1739"/>
      <c r="E51" s="1739"/>
      <c r="F51" s="1739"/>
      <c r="G51" s="1739"/>
      <c r="H51" s="1249"/>
      <c r="I51" s="1244"/>
      <c r="J51" s="1239" t="s">
        <v>241</v>
      </c>
      <c r="K51" s="1243"/>
      <c r="L51" s="1349" t="str">
        <f>IF(I51&lt;=0,"OK","ERROR")</f>
        <v>OK</v>
      </c>
    </row>
    <row r="52" spans="1:13" ht="22.5" customHeight="1" x14ac:dyDescent="0.2">
      <c r="A52" s="227" t="s">
        <v>240</v>
      </c>
      <c r="B52" s="1737" t="s">
        <v>1791</v>
      </c>
      <c r="C52" s="1737"/>
      <c r="D52" s="1737"/>
      <c r="E52" s="1737"/>
      <c r="F52" s="1737"/>
      <c r="G52" s="1737"/>
      <c r="H52" s="1249"/>
      <c r="I52" s="1244">
        <v>-26000000</v>
      </c>
      <c r="J52" s="1239" t="s">
        <v>241</v>
      </c>
      <c r="K52" s="1243"/>
    </row>
    <row r="53" spans="1:13" ht="22.5" customHeight="1" thickBot="1" x14ac:dyDescent="0.25">
      <c r="A53" s="227" t="s">
        <v>1317</v>
      </c>
      <c r="B53" s="1742" t="s">
        <v>207</v>
      </c>
      <c r="C53" s="1742"/>
      <c r="D53" s="1742"/>
      <c r="E53" s="1742"/>
      <c r="F53" s="1742"/>
      <c r="G53" s="1742"/>
      <c r="H53" s="1237"/>
      <c r="I53" s="1250">
        <f>I28+I35+I54+I48+I52</f>
        <v>674000000</v>
      </c>
      <c r="J53" s="1239" t="s">
        <v>241</v>
      </c>
      <c r="K53" s="1243"/>
      <c r="L53" s="1349" t="str">
        <f>IF(I53&gt;0,"OK","ERROR")</f>
        <v>OK</v>
      </c>
    </row>
    <row r="54" spans="1:13" ht="22.5" customHeight="1" thickTop="1" thickBot="1" x14ac:dyDescent="0.25">
      <c r="A54" s="227" t="s">
        <v>1676</v>
      </c>
      <c r="B54" s="1737" t="s">
        <v>233</v>
      </c>
      <c r="C54" s="1737"/>
      <c r="D54" s="1737"/>
      <c r="E54" s="1737"/>
      <c r="F54" s="1737"/>
      <c r="G54" s="1737"/>
      <c r="H54" s="1237"/>
      <c r="I54" s="1250">
        <f>SUM(I55:I58)</f>
        <v>0</v>
      </c>
      <c r="J54" s="1239" t="s">
        <v>241</v>
      </c>
      <c r="K54" s="1243"/>
      <c r="L54" s="1349" t="str">
        <f>IF(OR(P_CRSABIS_OPT.MELD!D11=1,P_CRSABIS_OPT.MELD!D11=2),IF(I54&gt;0,"OK","ERROR"),IF(I54=0,"OK","ERROR"))</f>
        <v>OK</v>
      </c>
    </row>
    <row r="55" spans="1:13" ht="22.5" customHeight="1" thickTop="1" x14ac:dyDescent="0.2">
      <c r="A55" s="230" t="s">
        <v>1806</v>
      </c>
      <c r="B55" s="1739" t="s">
        <v>1350</v>
      </c>
      <c r="C55" s="1739"/>
      <c r="D55" s="1739"/>
      <c r="E55" s="1739"/>
      <c r="F55" s="1739"/>
      <c r="G55" s="1739"/>
      <c r="H55" s="1237"/>
      <c r="I55" s="1238"/>
      <c r="J55" s="1239" t="s">
        <v>241</v>
      </c>
      <c r="K55" s="1243"/>
      <c r="L55" s="1349" t="str">
        <f>IF(I55&gt;=0,"OK","ERROR")</f>
        <v>OK</v>
      </c>
    </row>
    <row r="56" spans="1:13" ht="22.5" customHeight="1" x14ac:dyDescent="0.2">
      <c r="A56" s="230" t="s">
        <v>2029</v>
      </c>
      <c r="B56" s="1739" t="s">
        <v>1351</v>
      </c>
      <c r="C56" s="1739"/>
      <c r="D56" s="1739"/>
      <c r="E56" s="1739"/>
      <c r="F56" s="1739"/>
      <c r="G56" s="1739"/>
      <c r="H56" s="1237"/>
      <c r="I56" s="1238"/>
      <c r="J56" s="1239" t="s">
        <v>241</v>
      </c>
      <c r="K56" s="1243"/>
      <c r="L56" s="1349" t="str">
        <f>IF(I56&lt;=0,"OK","ERROR")</f>
        <v>OK</v>
      </c>
    </row>
    <row r="57" spans="1:13" ht="22.5" customHeight="1" x14ac:dyDescent="0.2">
      <c r="A57" s="230" t="s">
        <v>2030</v>
      </c>
      <c r="B57" s="1739" t="s">
        <v>1352</v>
      </c>
      <c r="C57" s="1739"/>
      <c r="D57" s="1739"/>
      <c r="E57" s="1739"/>
      <c r="F57" s="1739"/>
      <c r="G57" s="1739"/>
      <c r="H57" s="1237"/>
      <c r="I57" s="1238"/>
      <c r="J57" s="1239" t="s">
        <v>241</v>
      </c>
      <c r="K57" s="1243"/>
      <c r="L57" s="1349" t="str">
        <f>IF(I57&gt;=0,"OK","ERROR")</f>
        <v>OK</v>
      </c>
    </row>
    <row r="58" spans="1:13" ht="22.5" customHeight="1" x14ac:dyDescent="0.2">
      <c r="A58" s="230" t="s">
        <v>2031</v>
      </c>
      <c r="B58" s="1739" t="s">
        <v>1353</v>
      </c>
      <c r="C58" s="1739"/>
      <c r="D58" s="1739"/>
      <c r="E58" s="1739"/>
      <c r="F58" s="1739"/>
      <c r="G58" s="1739"/>
      <c r="H58" s="1237"/>
      <c r="I58" s="1244"/>
      <c r="J58" s="1239" t="s">
        <v>241</v>
      </c>
      <c r="K58" s="1243"/>
      <c r="L58" s="1349" t="str">
        <f>IF(I58&gt;=0,"OK","ERROR")</f>
        <v>OK</v>
      </c>
    </row>
    <row r="59" spans="1:13" ht="7.5" customHeight="1" x14ac:dyDescent="0.2">
      <c r="A59" s="233"/>
      <c r="B59" s="1738"/>
      <c r="C59" s="1738"/>
      <c r="D59" s="1738"/>
      <c r="E59" s="1738"/>
      <c r="F59" s="1738"/>
      <c r="G59" s="1738"/>
      <c r="H59" s="74"/>
      <c r="I59" s="1241"/>
      <c r="J59" s="1242"/>
      <c r="K59" s="1243"/>
      <c r="L59" s="1350"/>
      <c r="M59" s="1243"/>
    </row>
    <row r="60" spans="1:13" ht="7.5" customHeight="1" x14ac:dyDescent="0.2">
      <c r="A60" s="218"/>
      <c r="B60" s="1243"/>
      <c r="C60" s="1243"/>
      <c r="D60" s="1243"/>
      <c r="E60" s="1243"/>
      <c r="F60" s="1243"/>
      <c r="G60" s="1243"/>
      <c r="H60" s="84"/>
      <c r="I60" s="1232"/>
      <c r="J60" s="1233"/>
      <c r="K60" s="1243"/>
      <c r="L60" s="1350"/>
      <c r="M60" s="1243"/>
    </row>
    <row r="61" spans="1:13" ht="22.5" customHeight="1" x14ac:dyDescent="0.2">
      <c r="A61" s="1251">
        <v>3</v>
      </c>
      <c r="B61" s="1252" t="s">
        <v>242</v>
      </c>
      <c r="C61" s="1253"/>
      <c r="D61" s="1253"/>
      <c r="E61" s="1253"/>
      <c r="F61" s="1253"/>
      <c r="G61" s="1253"/>
      <c r="H61" s="1245"/>
      <c r="I61" s="1248">
        <v>52000000</v>
      </c>
      <c r="J61" s="1247">
        <v>41</v>
      </c>
      <c r="K61" s="1347"/>
      <c r="L61" s="1349" t="str">
        <f>IF(I61&gt;0,"OK","ERROR")</f>
        <v>OK</v>
      </c>
    </row>
    <row r="62" spans="1:13" ht="7.5" customHeight="1" x14ac:dyDescent="0.2">
      <c r="A62" s="233"/>
      <c r="B62" s="1738"/>
      <c r="C62" s="1738"/>
      <c r="D62" s="1738"/>
      <c r="E62" s="1738"/>
      <c r="F62" s="1738"/>
      <c r="G62" s="1738"/>
      <c r="H62" s="74"/>
      <c r="I62" s="1241"/>
      <c r="J62" s="1242"/>
      <c r="K62" s="1243"/>
      <c r="L62" s="1350"/>
      <c r="M62" s="1243"/>
    </row>
    <row r="63" spans="1:13" ht="7.5" customHeight="1" x14ac:dyDescent="0.2">
      <c r="A63" s="218"/>
      <c r="B63" s="1243"/>
      <c r="C63" s="1243"/>
      <c r="D63" s="1243"/>
      <c r="E63" s="1243"/>
      <c r="F63" s="1243"/>
      <c r="G63" s="1243"/>
      <c r="H63" s="84"/>
      <c r="I63" s="1232"/>
      <c r="J63" s="1233"/>
      <c r="K63" s="1243"/>
      <c r="L63" s="1350"/>
      <c r="M63" s="1243"/>
    </row>
    <row r="64" spans="1:13" ht="22.5" customHeight="1" thickBot="1" x14ac:dyDescent="0.25">
      <c r="A64" s="1251" t="s">
        <v>243</v>
      </c>
      <c r="B64" s="1732" t="s">
        <v>244</v>
      </c>
      <c r="C64" s="1732"/>
      <c r="D64" s="1732"/>
      <c r="E64" s="1732"/>
      <c r="F64" s="1732"/>
      <c r="G64" s="1732"/>
      <c r="H64" s="1245"/>
      <c r="I64" s="1254">
        <f>IF(I27=0,0,I61/I27)</f>
        <v>6.4197530864197536E-2</v>
      </c>
      <c r="J64" s="1247">
        <v>42</v>
      </c>
      <c r="K64" s="1347"/>
      <c r="L64" s="1349" t="str">
        <f>IF(AND(I64&gt;=0,I64&lt;=1),"OK","ERROR")</f>
        <v>OK</v>
      </c>
    </row>
    <row r="65" spans="1:12" ht="22.5" customHeight="1" thickTop="1" thickBot="1" x14ac:dyDescent="0.25">
      <c r="A65" s="1251" t="s">
        <v>245</v>
      </c>
      <c r="B65" s="1732" t="s">
        <v>246</v>
      </c>
      <c r="C65" s="1732"/>
      <c r="D65" s="1732"/>
      <c r="E65" s="1732"/>
      <c r="F65" s="1732"/>
      <c r="G65" s="1732"/>
      <c r="H65" s="1255"/>
      <c r="I65" s="1254">
        <f>IF(I53=0,0,I61/I53)</f>
        <v>7.71513353115727E-2</v>
      </c>
      <c r="J65" s="1247"/>
      <c r="K65" s="1243"/>
      <c r="L65" s="1349"/>
    </row>
    <row r="66" spans="1:12" ht="7.5" customHeight="1" thickTop="1" x14ac:dyDescent="0.2">
      <c r="A66" s="233"/>
      <c r="B66" s="1733"/>
      <c r="C66" s="1733"/>
      <c r="D66" s="1733"/>
      <c r="E66" s="1733"/>
      <c r="F66" s="1733"/>
      <c r="G66" s="1733"/>
      <c r="H66" s="74"/>
      <c r="I66" s="1256"/>
      <c r="J66" s="1257"/>
      <c r="K66" s="1243"/>
    </row>
    <row r="67" spans="1:12" ht="18.75" customHeight="1" x14ac:dyDescent="0.2">
      <c r="A67" s="218"/>
      <c r="B67" s="1258" t="str">
        <f>"Version: "&amp;D72</f>
        <v>Version: 3.00.E0</v>
      </c>
      <c r="C67" s="84"/>
      <c r="D67" s="84"/>
      <c r="E67" s="84"/>
      <c r="F67" s="84"/>
      <c r="G67" s="84"/>
      <c r="H67" s="84"/>
      <c r="J67" s="1259" t="s">
        <v>25</v>
      </c>
    </row>
    <row r="68" spans="1:12" x14ac:dyDescent="0.2">
      <c r="A68" s="206"/>
    </row>
    <row r="69" spans="1:12" x14ac:dyDescent="0.2">
      <c r="A69" s="236"/>
      <c r="B69" s="1260"/>
      <c r="C69" s="1261" t="s">
        <v>24</v>
      </c>
      <c r="D69" s="1262" t="str">
        <f>I2</f>
        <v>XXXXXX</v>
      </c>
    </row>
    <row r="70" spans="1:12" x14ac:dyDescent="0.2">
      <c r="A70" s="238"/>
      <c r="B70" s="1263"/>
      <c r="C70" s="84"/>
      <c r="D70" s="1264" t="str">
        <f>I1</f>
        <v>P_LERA_BIS</v>
      </c>
    </row>
    <row r="71" spans="1:12" x14ac:dyDescent="0.2">
      <c r="A71" s="238"/>
      <c r="B71" s="1263"/>
      <c r="C71" s="84"/>
      <c r="D71" s="1264" t="str">
        <f>I3</f>
        <v>DD.MM.YYYY</v>
      </c>
    </row>
    <row r="72" spans="1:12" x14ac:dyDescent="0.2">
      <c r="A72" s="238"/>
      <c r="B72" s="1263"/>
      <c r="C72" s="84"/>
      <c r="D72" s="1265" t="s">
        <v>247</v>
      </c>
    </row>
    <row r="73" spans="1:12" x14ac:dyDescent="0.2">
      <c r="A73" s="238"/>
      <c r="B73" s="1263"/>
      <c r="C73" s="84"/>
      <c r="D73" s="83" t="str">
        <f>I10</f>
        <v>col. 01</v>
      </c>
    </row>
    <row r="74" spans="1:12" x14ac:dyDescent="0.2">
      <c r="A74" s="240"/>
      <c r="B74" s="1228"/>
      <c r="C74" s="74"/>
      <c r="D74" s="1266">
        <f>COUNTIF(L11:M64,"ERROR")</f>
        <v>1</v>
      </c>
    </row>
    <row r="75" spans="1:12" x14ac:dyDescent="0.2">
      <c r="A75" s="206"/>
      <c r="B75" s="1263"/>
      <c r="C75" s="1267"/>
      <c r="D75" s="84"/>
    </row>
  </sheetData>
  <mergeCells count="52">
    <mergeCell ref="B18:G18"/>
    <mergeCell ref="B24:G24"/>
    <mergeCell ref="B11:G11"/>
    <mergeCell ref="B12:G12"/>
    <mergeCell ref="B13:G13"/>
    <mergeCell ref="B14:G14"/>
    <mergeCell ref="B17:G17"/>
    <mergeCell ref="B20:G20"/>
    <mergeCell ref="B21:G21"/>
    <mergeCell ref="B22:G22"/>
    <mergeCell ref="B15:G15"/>
    <mergeCell ref="B16:G16"/>
    <mergeCell ref="B23:G23"/>
    <mergeCell ref="B19:G19"/>
    <mergeCell ref="B40:G40"/>
    <mergeCell ref="B25:G25"/>
    <mergeCell ref="B27:G27"/>
    <mergeCell ref="B53:G53"/>
    <mergeCell ref="B28:G28"/>
    <mergeCell ref="B29:G29"/>
    <mergeCell ref="B34:G34"/>
    <mergeCell ref="B35:G35"/>
    <mergeCell ref="B36:G36"/>
    <mergeCell ref="B37:G37"/>
    <mergeCell ref="B38:G38"/>
    <mergeCell ref="B39:G39"/>
    <mergeCell ref="B30:G30"/>
    <mergeCell ref="B31:G31"/>
    <mergeCell ref="B32:G32"/>
    <mergeCell ref="B33:G33"/>
    <mergeCell ref="B41:G41"/>
    <mergeCell ref="B42:G42"/>
    <mergeCell ref="B43:G43"/>
    <mergeCell ref="B44:G44"/>
    <mergeCell ref="B45:G45"/>
    <mergeCell ref="B46:G46"/>
    <mergeCell ref="B47:G47"/>
    <mergeCell ref="B54:G54"/>
    <mergeCell ref="B55:G55"/>
    <mergeCell ref="B65:G65"/>
    <mergeCell ref="B66:G66"/>
    <mergeCell ref="B48:G48"/>
    <mergeCell ref="B49:G49"/>
    <mergeCell ref="B50:G50"/>
    <mergeCell ref="B52:G52"/>
    <mergeCell ref="B59:G59"/>
    <mergeCell ref="B51:G51"/>
    <mergeCell ref="B58:G58"/>
    <mergeCell ref="B56:G56"/>
    <mergeCell ref="B57:G57"/>
    <mergeCell ref="B62:G62"/>
    <mergeCell ref="B64:G64"/>
  </mergeCells>
  <phoneticPr fontId="7" type="noConversion"/>
  <dataValidations disablePrompts="1" count="1">
    <dataValidation type="decimal" operator="notEqual" allowBlank="1" showInputMessage="1" showErrorMessage="1" errorTitle="Zahl" error="Hier ist nur ein Zahlenwert erlaubt" sqref="G67 H22:H24 H14:H20 H66:H67" xr:uid="{00000000-0002-0000-2300-000000000000}">
      <formula1>9.99999999999999</formula1>
    </dataValidation>
  </dataValidations>
  <printOptions gridLines="1" gridLinesSet="0"/>
  <pageMargins left="0.59055118110236227" right="0.59055118110236227" top="0.78740157480314965" bottom="0.39370078740157483" header="0.31496062992125984" footer="0.31496062992125984"/>
  <pageSetup paperSize="9" scale="62" pageOrder="overThenDown" orientation="portrait" r:id="rId1"/>
  <headerFooter alignWithMargins="0">
    <oddFooter>&amp;L&amp;"Arial,Fett"SNB Confidential&amp;C&amp;D&amp;RPage &amp;P</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F46E5-EA66-4C99-AE9C-A35DD951A909}">
  <sheetPr>
    <tabColor rgb="FF92D050"/>
  </sheetPr>
  <dimension ref="A1:M67"/>
  <sheetViews>
    <sheetView zoomScaleNormal="100" workbookViewId="0">
      <selection activeCell="O13" sqref="O13"/>
    </sheetView>
  </sheetViews>
  <sheetFormatPr defaultColWidth="13.42578125" defaultRowHeight="12.75" x14ac:dyDescent="0.2"/>
  <cols>
    <col min="1" max="1" width="13" style="409" customWidth="1"/>
    <col min="2" max="2" width="32.5703125" style="407" customWidth="1"/>
    <col min="3" max="3" width="13.42578125" style="407" customWidth="1"/>
    <col min="4" max="4" width="15.5703125" style="407" customWidth="1"/>
    <col min="5" max="5" width="10.5703125" style="407" customWidth="1"/>
    <col min="6" max="6" width="15.5703125" style="407" customWidth="1"/>
    <col min="7" max="7" width="35" style="407" customWidth="1"/>
    <col min="8" max="8" width="1.5703125" style="407" customWidth="1"/>
    <col min="9" max="9" width="25.42578125" style="407" customWidth="1"/>
    <col min="10" max="10" width="5.42578125" style="407" bestFit="1" customWidth="1"/>
    <col min="11" max="11" width="13" style="407" customWidth="1"/>
    <col min="12" max="12" width="13.42578125" style="409"/>
    <col min="13" max="13" width="4.5703125" style="410" customWidth="1"/>
    <col min="14" max="14" width="13.42578125" style="407"/>
    <col min="15" max="21" width="10" style="407" customWidth="1"/>
    <col min="22" max="16384" width="13.42578125" style="407"/>
  </cols>
  <sheetData>
    <row r="1" spans="1:12" ht="25.35" customHeight="1" x14ac:dyDescent="0.2">
      <c r="H1" s="408" t="s">
        <v>100</v>
      </c>
      <c r="I1" s="1089" t="s">
        <v>1728</v>
      </c>
    </row>
    <row r="2" spans="1:12" ht="25.35" customHeight="1" x14ac:dyDescent="0.2">
      <c r="H2" s="408" t="s">
        <v>98</v>
      </c>
      <c r="I2" s="413" t="str">
        <f>'Delivery note'!H3</f>
        <v>XXXXXX</v>
      </c>
    </row>
    <row r="3" spans="1:12" ht="25.35" customHeight="1" x14ac:dyDescent="0.2">
      <c r="H3" s="408" t="s">
        <v>96</v>
      </c>
      <c r="I3" s="414" t="s">
        <v>1928</v>
      </c>
    </row>
    <row r="4" spans="1:12" ht="18" x14ac:dyDescent="0.25">
      <c r="B4" s="106" t="s">
        <v>2250</v>
      </c>
      <c r="C4" s="415"/>
      <c r="D4" s="1090" t="s">
        <v>2239</v>
      </c>
    </row>
    <row r="5" spans="1:12" ht="18" x14ac:dyDescent="0.25">
      <c r="B5" s="409"/>
      <c r="C5" s="417"/>
      <c r="D5" s="1091" t="s">
        <v>99</v>
      </c>
    </row>
    <row r="6" spans="1:12" ht="20.100000000000001" customHeight="1" x14ac:dyDescent="0.2">
      <c r="B6" s="409"/>
      <c r="D6" s="407" t="s">
        <v>351</v>
      </c>
      <c r="G6" s="420"/>
      <c r="H6" s="420"/>
      <c r="I6" s="420"/>
    </row>
    <row r="7" spans="1:12" x14ac:dyDescent="0.2">
      <c r="B7" s="409"/>
      <c r="G7" s="420"/>
      <c r="H7" s="420"/>
    </row>
    <row r="8" spans="1:12" ht="16.350000000000001" customHeight="1" x14ac:dyDescent="0.2">
      <c r="B8" s="409"/>
      <c r="C8" s="423"/>
      <c r="J8" s="424"/>
    </row>
    <row r="9" spans="1:12" ht="22.5" customHeight="1" x14ac:dyDescent="0.2">
      <c r="A9" s="1092"/>
      <c r="B9" s="426"/>
      <c r="C9" s="427"/>
      <c r="D9" s="426"/>
      <c r="E9" s="426"/>
      <c r="F9" s="426"/>
      <c r="G9" s="426"/>
      <c r="H9" s="428"/>
      <c r="I9" s="1093" t="s">
        <v>353</v>
      </c>
      <c r="J9" s="429"/>
      <c r="K9" s="430"/>
      <c r="L9" s="407" t="s">
        <v>354</v>
      </c>
    </row>
    <row r="10" spans="1:12" ht="29.1" customHeight="1" x14ac:dyDescent="0.2">
      <c r="A10" s="1094"/>
      <c r="B10" s="424"/>
      <c r="C10" s="424"/>
      <c r="D10" s="424"/>
      <c r="E10" s="424"/>
      <c r="F10" s="424"/>
      <c r="G10" s="431"/>
      <c r="H10" s="432"/>
      <c r="I10" s="191" t="s">
        <v>22</v>
      </c>
      <c r="J10" s="433"/>
      <c r="K10" s="434"/>
    </row>
    <row r="11" spans="1:12" ht="7.5" customHeight="1" x14ac:dyDescent="0.2">
      <c r="A11" s="1095"/>
      <c r="B11" s="426"/>
      <c r="C11" s="426"/>
      <c r="D11" s="426"/>
      <c r="E11" s="426"/>
      <c r="F11" s="426"/>
      <c r="G11" s="426"/>
      <c r="H11" s="428"/>
      <c r="I11" s="436"/>
      <c r="J11" s="437"/>
    </row>
    <row r="12" spans="1:12" ht="21.6" hidden="1" customHeight="1" thickTop="1" x14ac:dyDescent="0.2">
      <c r="A12" s="1096"/>
      <c r="B12" s="1756"/>
      <c r="C12" s="1756"/>
      <c r="D12" s="1756"/>
      <c r="E12" s="1756"/>
      <c r="F12" s="1756"/>
      <c r="G12" s="1756"/>
      <c r="H12" s="450"/>
      <c r="I12" s="405"/>
      <c r="J12" s="1097"/>
    </row>
    <row r="13" spans="1:12" ht="41.25" customHeight="1" x14ac:dyDescent="0.25">
      <c r="A13" s="1098">
        <v>4.7</v>
      </c>
      <c r="B13" s="1757" t="s">
        <v>1929</v>
      </c>
      <c r="C13" s="1758"/>
      <c r="D13" s="1758"/>
      <c r="E13" s="1758"/>
      <c r="F13" s="1758"/>
      <c r="G13" s="1758"/>
      <c r="H13" s="428"/>
      <c r="I13" s="443"/>
      <c r="J13" s="444"/>
    </row>
    <row r="14" spans="1:12" ht="21.6" customHeight="1" x14ac:dyDescent="0.2">
      <c r="A14" s="1099" t="s">
        <v>1120</v>
      </c>
      <c r="B14" s="1759" t="s">
        <v>1121</v>
      </c>
      <c r="C14" s="1759"/>
      <c r="D14" s="1759"/>
      <c r="E14" s="1759"/>
      <c r="F14" s="1759"/>
      <c r="G14" s="1759"/>
      <c r="H14" s="450"/>
      <c r="I14" s="352"/>
      <c r="J14" s="1097"/>
    </row>
    <row r="15" spans="1:12" ht="21.6" customHeight="1" x14ac:dyDescent="0.2">
      <c r="A15" s="1099" t="s">
        <v>1122</v>
      </c>
      <c r="B15" s="1755" t="s">
        <v>1123</v>
      </c>
      <c r="C15" s="1755"/>
      <c r="D15" s="1755"/>
      <c r="E15" s="1755"/>
      <c r="F15" s="1755"/>
      <c r="G15" s="1755"/>
      <c r="H15" s="450"/>
      <c r="I15" s="1100">
        <f>P_CASABISIRB_CAP.MELD!I159</f>
        <v>50000000</v>
      </c>
      <c r="J15" s="1097"/>
    </row>
    <row r="16" spans="1:12" ht="21.6" customHeight="1" x14ac:dyDescent="0.2">
      <c r="A16" s="1099" t="s">
        <v>1124</v>
      </c>
      <c r="B16" s="1755" t="s">
        <v>1125</v>
      </c>
      <c r="C16" s="1755"/>
      <c r="D16" s="1755"/>
      <c r="E16" s="1755"/>
      <c r="F16" s="1755"/>
      <c r="G16" s="1755"/>
      <c r="H16" s="450"/>
      <c r="I16" s="404"/>
      <c r="J16" s="1097"/>
    </row>
    <row r="17" spans="1:12" ht="21.6" customHeight="1" x14ac:dyDescent="0.2">
      <c r="A17" s="1099" t="s">
        <v>1126</v>
      </c>
      <c r="B17" s="1755" t="s">
        <v>1127</v>
      </c>
      <c r="C17" s="1755"/>
      <c r="D17" s="1755"/>
      <c r="E17" s="1755"/>
      <c r="F17" s="1755"/>
      <c r="G17" s="1755"/>
      <c r="H17" s="450"/>
      <c r="I17" s="1100">
        <f>P_CASABISIRB_CAP.MELD!I162</f>
        <v>60000000</v>
      </c>
      <c r="J17" s="1097"/>
    </row>
    <row r="18" spans="1:12" ht="21.6" customHeight="1" x14ac:dyDescent="0.2">
      <c r="A18" s="1099" t="s">
        <v>1128</v>
      </c>
      <c r="B18" s="1755" t="s">
        <v>1129</v>
      </c>
      <c r="C18" s="1755"/>
      <c r="D18" s="1755"/>
      <c r="E18" s="1755"/>
      <c r="F18" s="1755"/>
      <c r="G18" s="1755"/>
      <c r="H18" s="450"/>
      <c r="I18" s="404"/>
      <c r="J18" s="1097"/>
    </row>
    <row r="19" spans="1:12" ht="21.6" customHeight="1" x14ac:dyDescent="0.2">
      <c r="A19" s="1099" t="s">
        <v>1130</v>
      </c>
      <c r="B19" s="1755" t="s">
        <v>1131</v>
      </c>
      <c r="C19" s="1755"/>
      <c r="D19" s="1755"/>
      <c r="E19" s="1755"/>
      <c r="F19" s="1755"/>
      <c r="G19" s="1755"/>
      <c r="H19" s="450"/>
      <c r="I19" s="1100">
        <f>P_CASABISIRB_CAP.MELD!I165</f>
        <v>65000000</v>
      </c>
      <c r="J19" s="1097"/>
    </row>
    <row r="20" spans="1:12" ht="21.6" customHeight="1" x14ac:dyDescent="0.2">
      <c r="A20" s="1099" t="s">
        <v>1132</v>
      </c>
      <c r="B20" s="1755" t="s">
        <v>1133</v>
      </c>
      <c r="C20" s="1755"/>
      <c r="D20" s="1755"/>
      <c r="E20" s="1755"/>
      <c r="F20" s="1755"/>
      <c r="G20" s="1755"/>
      <c r="H20" s="450"/>
      <c r="I20" s="404"/>
      <c r="J20" s="1097"/>
    </row>
    <row r="21" spans="1:12" ht="21.6" customHeight="1" x14ac:dyDescent="0.2">
      <c r="A21" s="1099" t="s">
        <v>1134</v>
      </c>
      <c r="B21" s="1760" t="s">
        <v>1135</v>
      </c>
      <c r="C21" s="1760"/>
      <c r="D21" s="1760"/>
      <c r="E21" s="1760"/>
      <c r="F21" s="1760"/>
      <c r="G21" s="1760"/>
      <c r="H21" s="450"/>
      <c r="I21" s="352"/>
      <c r="J21" s="1097"/>
    </row>
    <row r="22" spans="1:12" ht="21.6" customHeight="1" x14ac:dyDescent="0.2">
      <c r="A22" s="1099" t="s">
        <v>1136</v>
      </c>
      <c r="B22" s="1755" t="s">
        <v>1137</v>
      </c>
      <c r="C22" s="1755"/>
      <c r="D22" s="1755"/>
      <c r="E22" s="1755"/>
      <c r="F22" s="1755"/>
      <c r="G22" s="1755"/>
      <c r="H22" s="450"/>
      <c r="I22" s="1100">
        <f>P_CASABISIRB_RWALRD.MELD!I12</f>
        <v>309935655</v>
      </c>
      <c r="J22" s="1097"/>
    </row>
    <row r="23" spans="1:12" ht="21.6" customHeight="1" x14ac:dyDescent="0.2">
      <c r="A23" s="1099" t="s">
        <v>2070</v>
      </c>
      <c r="B23" s="1761" t="s">
        <v>2071</v>
      </c>
      <c r="C23" s="1761"/>
      <c r="D23" s="1761"/>
      <c r="E23" s="1761"/>
      <c r="F23" s="1761"/>
      <c r="G23" s="1761"/>
      <c r="H23" s="450"/>
      <c r="I23" s="1100">
        <f>P_CASABISIRB_RWALRD.MELD!I12-P_CASABISIRB_RWALRD.MELD!I88</f>
        <v>309935655</v>
      </c>
      <c r="J23" s="1097"/>
      <c r="L23" s="294" t="str">
        <f>IF(ABS(I23-0.08*P_CASABISIRB_RWALRD.MELD!I12)&gt;1,IF(OR(I23=10000,I23=1500),"WARNING","ERROR"),"OK")</f>
        <v>ERROR</v>
      </c>
    </row>
    <row r="24" spans="1:12" ht="21.6" customHeight="1" x14ac:dyDescent="0.2">
      <c r="A24" s="1099" t="s">
        <v>1139</v>
      </c>
      <c r="B24" s="1760" t="s">
        <v>1140</v>
      </c>
      <c r="C24" s="1760"/>
      <c r="D24" s="1760"/>
      <c r="E24" s="1760"/>
      <c r="F24" s="1760"/>
      <c r="G24" s="1760"/>
      <c r="H24" s="450"/>
      <c r="I24" s="352"/>
      <c r="J24" s="1097"/>
    </row>
    <row r="25" spans="1:12" ht="21.6" customHeight="1" x14ac:dyDescent="0.2">
      <c r="A25" s="1099" t="s">
        <v>1141</v>
      </c>
      <c r="B25" s="1755" t="s">
        <v>1142</v>
      </c>
      <c r="C25" s="1755"/>
      <c r="D25" s="1755"/>
      <c r="E25" s="1755"/>
      <c r="F25" s="1755"/>
      <c r="G25" s="1755"/>
      <c r="H25" s="450"/>
      <c r="I25" s="1101">
        <f>I15/I22</f>
        <v>0.16132380767872609</v>
      </c>
      <c r="J25" s="1097"/>
    </row>
    <row r="26" spans="1:12" ht="21.6" customHeight="1" x14ac:dyDescent="0.2">
      <c r="A26" s="1099" t="s">
        <v>1143</v>
      </c>
      <c r="B26" s="1755" t="s">
        <v>1144</v>
      </c>
      <c r="C26" s="1755"/>
      <c r="D26" s="1755"/>
      <c r="E26" s="1755"/>
      <c r="F26" s="1755"/>
      <c r="G26" s="1755"/>
      <c r="H26" s="450"/>
      <c r="I26" s="1102"/>
      <c r="J26" s="1097"/>
    </row>
    <row r="27" spans="1:12" ht="21.6" customHeight="1" x14ac:dyDescent="0.2">
      <c r="A27" s="1099" t="s">
        <v>1145</v>
      </c>
      <c r="B27" s="1755" t="s">
        <v>1146</v>
      </c>
      <c r="C27" s="1755"/>
      <c r="D27" s="1755"/>
      <c r="E27" s="1755"/>
      <c r="F27" s="1755"/>
      <c r="G27" s="1755"/>
      <c r="H27" s="450"/>
      <c r="I27" s="1101">
        <f>I17/I22</f>
        <v>0.19358856921447132</v>
      </c>
      <c r="J27" s="1097"/>
    </row>
    <row r="28" spans="1:12" ht="21.6" customHeight="1" x14ac:dyDescent="0.2">
      <c r="A28" s="1099" t="s">
        <v>1147</v>
      </c>
      <c r="B28" s="1755" t="s">
        <v>1148</v>
      </c>
      <c r="C28" s="1755"/>
      <c r="D28" s="1755"/>
      <c r="E28" s="1755"/>
      <c r="F28" s="1755"/>
      <c r="G28" s="1755"/>
      <c r="H28" s="450"/>
      <c r="I28" s="1102"/>
      <c r="J28" s="1097"/>
    </row>
    <row r="29" spans="1:12" ht="21.6" customHeight="1" x14ac:dyDescent="0.2">
      <c r="A29" s="1099" t="s">
        <v>1149</v>
      </c>
      <c r="B29" s="1755" t="s">
        <v>1150</v>
      </c>
      <c r="C29" s="1755"/>
      <c r="D29" s="1755"/>
      <c r="E29" s="1755"/>
      <c r="F29" s="1755"/>
      <c r="G29" s="1755"/>
      <c r="H29" s="450"/>
      <c r="I29" s="1101">
        <f>I19/I22</f>
        <v>0.20972094998234392</v>
      </c>
      <c r="J29" s="1097"/>
    </row>
    <row r="30" spans="1:12" ht="21.6" customHeight="1" x14ac:dyDescent="0.2">
      <c r="A30" s="1099" t="s">
        <v>1151</v>
      </c>
      <c r="B30" s="1755" t="s">
        <v>1152</v>
      </c>
      <c r="C30" s="1755"/>
      <c r="D30" s="1755"/>
      <c r="E30" s="1755"/>
      <c r="F30" s="1755"/>
      <c r="G30" s="1755"/>
      <c r="H30" s="450"/>
      <c r="I30" s="1102"/>
      <c r="J30" s="1097"/>
    </row>
    <row r="31" spans="1:12" ht="21.6" customHeight="1" x14ac:dyDescent="0.2">
      <c r="A31" s="1099" t="s">
        <v>1153</v>
      </c>
      <c r="B31" s="1760" t="s">
        <v>1154</v>
      </c>
      <c r="C31" s="1760"/>
      <c r="D31" s="1760"/>
      <c r="E31" s="1760"/>
      <c r="F31" s="1760"/>
      <c r="G31" s="1760"/>
      <c r="H31" s="450"/>
      <c r="I31" s="352"/>
      <c r="J31" s="1097"/>
    </row>
    <row r="32" spans="1:12" ht="21.6" customHeight="1" x14ac:dyDescent="0.2">
      <c r="A32" s="1099" t="s">
        <v>1155</v>
      </c>
      <c r="B32" s="1755" t="s">
        <v>1156</v>
      </c>
      <c r="C32" s="1755"/>
      <c r="D32" s="1755"/>
      <c r="E32" s="1755"/>
      <c r="F32" s="1755"/>
      <c r="G32" s="1755"/>
      <c r="H32" s="450"/>
      <c r="I32" s="1101">
        <f>2.5%</f>
        <v>2.5000000000000001E-2</v>
      </c>
      <c r="J32" s="1097"/>
    </row>
    <row r="33" spans="1:10" ht="21.6" customHeight="1" x14ac:dyDescent="0.2">
      <c r="A33" s="1099" t="s">
        <v>1157</v>
      </c>
      <c r="B33" s="1755" t="s">
        <v>1158</v>
      </c>
      <c r="C33" s="1755"/>
      <c r="D33" s="1755"/>
      <c r="E33" s="1755"/>
      <c r="F33" s="1755"/>
      <c r="G33" s="1755"/>
      <c r="H33" s="450"/>
      <c r="I33" s="1101">
        <f>P_CASABISIRB_REQ.MELD!I54</f>
        <v>0</v>
      </c>
      <c r="J33" s="1097"/>
    </row>
    <row r="34" spans="1:10" ht="21.6" customHeight="1" x14ac:dyDescent="0.2">
      <c r="A34" s="1099" t="s">
        <v>1159</v>
      </c>
      <c r="B34" s="1755" t="s">
        <v>1160</v>
      </c>
      <c r="C34" s="1755"/>
      <c r="D34" s="1755"/>
      <c r="E34" s="1755"/>
      <c r="F34" s="1755"/>
      <c r="G34" s="1755"/>
      <c r="H34" s="450"/>
      <c r="I34" s="1101"/>
      <c r="J34" s="1233">
        <v>596</v>
      </c>
    </row>
    <row r="35" spans="1:10" ht="21.6" customHeight="1" x14ac:dyDescent="0.2">
      <c r="A35" s="1099" t="s">
        <v>1161</v>
      </c>
      <c r="B35" s="1755" t="s">
        <v>1162</v>
      </c>
      <c r="C35" s="1755"/>
      <c r="D35" s="1755"/>
      <c r="E35" s="1755"/>
      <c r="F35" s="1755"/>
      <c r="G35" s="1755"/>
      <c r="H35" s="450"/>
      <c r="I35" s="1101">
        <f>SUM(I32:I34)</f>
        <v>2.5000000000000001E-2</v>
      </c>
      <c r="J35" s="1097"/>
    </row>
    <row r="36" spans="1:10" ht="21.6" customHeight="1" x14ac:dyDescent="0.2">
      <c r="A36" s="1099" t="s">
        <v>1163</v>
      </c>
      <c r="B36" s="1755" t="s">
        <v>1164</v>
      </c>
      <c r="C36" s="1755"/>
      <c r="D36" s="1755"/>
      <c r="E36" s="1755"/>
      <c r="F36" s="1755"/>
      <c r="G36" s="1755"/>
      <c r="H36" s="450"/>
      <c r="I36" s="1101"/>
      <c r="J36" s="1097"/>
    </row>
    <row r="37" spans="1:10" ht="21.6" customHeight="1" x14ac:dyDescent="0.2">
      <c r="A37" s="1099" t="s">
        <v>1165</v>
      </c>
      <c r="B37" s="1760" t="s">
        <v>1166</v>
      </c>
      <c r="C37" s="1760"/>
      <c r="D37" s="1760"/>
      <c r="E37" s="1760"/>
      <c r="F37" s="1760"/>
      <c r="G37" s="1760"/>
      <c r="H37" s="450"/>
      <c r="I37" s="352"/>
      <c r="J37" s="1097"/>
    </row>
    <row r="38" spans="1:10" ht="21.6" customHeight="1" x14ac:dyDescent="0.2">
      <c r="A38" s="1099" t="s">
        <v>1167</v>
      </c>
      <c r="B38" s="1755" t="s">
        <v>1168</v>
      </c>
      <c r="C38" s="1755"/>
      <c r="D38" s="1755"/>
      <c r="E38" s="1755"/>
      <c r="F38" s="1755"/>
      <c r="G38" s="1755"/>
      <c r="H38" s="450"/>
      <c r="I38" s="1101">
        <f>P_CASABISIRB_REQ.MELD!I21+P_CASABISIRB_REQ.MELD!I31+P_CASABISIRB_REQ.MELD!I34-0.035</f>
        <v>-3.5000000000000003E-2</v>
      </c>
      <c r="J38" s="1097"/>
    </row>
    <row r="39" spans="1:10" ht="21.6" customHeight="1" x14ac:dyDescent="0.2">
      <c r="A39" s="1099" t="s">
        <v>1169</v>
      </c>
      <c r="B39" s="1755" t="s">
        <v>1170</v>
      </c>
      <c r="C39" s="1755"/>
      <c r="D39" s="1755"/>
      <c r="E39" s="1755"/>
      <c r="F39" s="1755"/>
      <c r="G39" s="1755"/>
      <c r="H39" s="450"/>
      <c r="I39" s="1101">
        <f>P_CASABISIRB_REQ.MELD!I25+P_CASABISIRB_REQ.MELD!I28</f>
        <v>1.032472369143847E-4</v>
      </c>
      <c r="J39" s="1097"/>
    </row>
    <row r="40" spans="1:10" ht="21.6" customHeight="1" x14ac:dyDescent="0.2">
      <c r="A40" s="1099" t="s">
        <v>1171</v>
      </c>
      <c r="B40" s="1755" t="s">
        <v>1172</v>
      </c>
      <c r="C40" s="1755"/>
      <c r="D40" s="1755"/>
      <c r="E40" s="1755"/>
      <c r="F40" s="1755"/>
      <c r="G40" s="1755"/>
      <c r="H40" s="450"/>
      <c r="I40" s="1101"/>
      <c r="J40" s="1097"/>
    </row>
    <row r="41" spans="1:10" ht="21.6" customHeight="1" x14ac:dyDescent="0.2">
      <c r="A41" s="1099" t="s">
        <v>1173</v>
      </c>
      <c r="B41" s="1755" t="s">
        <v>1174</v>
      </c>
      <c r="C41" s="1755"/>
      <c r="D41" s="1755"/>
      <c r="E41" s="1755"/>
      <c r="F41" s="1755"/>
      <c r="G41" s="1755"/>
      <c r="H41" s="450"/>
      <c r="I41" s="1101"/>
      <c r="J41" s="1097"/>
    </row>
    <row r="42" spans="1:10" ht="21.6" customHeight="1" x14ac:dyDescent="0.2">
      <c r="A42" s="1099" t="s">
        <v>1175</v>
      </c>
      <c r="B42" s="1755" t="s">
        <v>1176</v>
      </c>
      <c r="C42" s="1755"/>
      <c r="D42" s="1755"/>
      <c r="E42" s="1755"/>
      <c r="F42" s="1755"/>
      <c r="G42" s="1755"/>
      <c r="H42" s="450"/>
      <c r="I42" s="1101"/>
      <c r="J42" s="1097"/>
    </row>
    <row r="43" spans="1:10" ht="21.6" customHeight="1" x14ac:dyDescent="0.2">
      <c r="A43" s="1099" t="s">
        <v>1177</v>
      </c>
      <c r="B43" s="1760" t="s">
        <v>1178</v>
      </c>
      <c r="C43" s="1760"/>
      <c r="D43" s="1760"/>
      <c r="E43" s="1760"/>
      <c r="F43" s="1760"/>
      <c r="G43" s="1760"/>
      <c r="H43" s="450"/>
      <c r="I43" s="352"/>
      <c r="J43" s="1097"/>
    </row>
    <row r="44" spans="1:10" ht="21.6" customHeight="1" x14ac:dyDescent="0.2">
      <c r="A44" s="1099" t="s">
        <v>1179</v>
      </c>
      <c r="B44" s="1755" t="s">
        <v>1180</v>
      </c>
      <c r="C44" s="1755"/>
      <c r="D44" s="1755"/>
      <c r="E44" s="1755"/>
      <c r="F44" s="1755"/>
      <c r="G44" s="1755"/>
      <c r="H44" s="450"/>
      <c r="I44" s="1100">
        <f>P_CASABISIRB_RWALRD.MELD!I94</f>
        <v>810000000</v>
      </c>
      <c r="J44" s="1097"/>
    </row>
    <row r="45" spans="1:10" ht="21.6" customHeight="1" x14ac:dyDescent="0.2">
      <c r="A45" s="1099" t="s">
        <v>1181</v>
      </c>
      <c r="B45" s="1761" t="s">
        <v>2203</v>
      </c>
      <c r="C45" s="1761"/>
      <c r="D45" s="1761"/>
      <c r="E45" s="1761"/>
      <c r="F45" s="1761"/>
      <c r="G45" s="1761"/>
      <c r="H45" s="450"/>
      <c r="I45" s="1101">
        <f>P_CASABISIRB_CAP.MELD!I162/P_CASABISIRB_RWALRD.MELD!I94</f>
        <v>7.407407407407407E-2</v>
      </c>
      <c r="J45" s="1097"/>
    </row>
    <row r="46" spans="1:10" ht="30.6" customHeight="1" x14ac:dyDescent="0.2">
      <c r="A46" s="1103" t="s">
        <v>1183</v>
      </c>
      <c r="B46" s="1764" t="s">
        <v>2204</v>
      </c>
      <c r="C46" s="1764"/>
      <c r="D46" s="1764"/>
      <c r="E46" s="1764"/>
      <c r="F46" s="1764"/>
      <c r="G46" s="1764"/>
      <c r="H46" s="439"/>
      <c r="I46" s="1101"/>
      <c r="J46" s="1097"/>
    </row>
    <row r="47" spans="1:10" ht="21.6" customHeight="1" x14ac:dyDescent="0.2">
      <c r="A47" s="1103" t="s">
        <v>1930</v>
      </c>
      <c r="B47" s="1762" t="s">
        <v>1931</v>
      </c>
      <c r="C47" s="1762"/>
      <c r="D47" s="1762"/>
      <c r="E47" s="1762"/>
      <c r="F47" s="1762"/>
      <c r="G47" s="1762"/>
      <c r="H47" s="1398"/>
      <c r="I47" s="1283"/>
      <c r="J47" s="158"/>
    </row>
    <row r="48" spans="1:10" ht="32.85" customHeight="1" x14ac:dyDescent="0.2">
      <c r="A48" s="1103" t="s">
        <v>1932</v>
      </c>
      <c r="B48" s="1762" t="s">
        <v>1933</v>
      </c>
      <c r="C48" s="1762"/>
      <c r="D48" s="1762"/>
      <c r="E48" s="1762"/>
      <c r="F48" s="1762"/>
      <c r="G48" s="1762"/>
      <c r="H48" s="1398"/>
      <c r="I48" s="1283"/>
      <c r="J48" s="158"/>
    </row>
    <row r="49" spans="1:12" ht="29.85" customHeight="1" x14ac:dyDescent="0.2">
      <c r="A49" s="1103" t="s">
        <v>1934</v>
      </c>
      <c r="B49" s="1762" t="s">
        <v>1935</v>
      </c>
      <c r="C49" s="1762"/>
      <c r="D49" s="1762"/>
      <c r="E49" s="1762"/>
      <c r="F49" s="1762"/>
      <c r="G49" s="1762"/>
      <c r="H49" s="1398"/>
      <c r="I49" s="1283"/>
      <c r="J49" s="158"/>
    </row>
    <row r="50" spans="1:12" ht="41.45" customHeight="1" x14ac:dyDescent="0.2">
      <c r="A50" s="1103" t="s">
        <v>1967</v>
      </c>
      <c r="B50" s="1765" t="s">
        <v>2237</v>
      </c>
      <c r="C50" s="1765"/>
      <c r="D50" s="1765"/>
      <c r="E50" s="1765"/>
      <c r="F50" s="1765"/>
      <c r="G50" s="1765"/>
      <c r="H50" s="1398"/>
      <c r="I50" s="1283"/>
      <c r="J50" s="158" t="s">
        <v>241</v>
      </c>
    </row>
    <row r="51" spans="1:12" ht="26.85" customHeight="1" x14ac:dyDescent="0.2">
      <c r="A51" s="1397" t="s">
        <v>2069</v>
      </c>
      <c r="B51" s="1511" t="s">
        <v>1969</v>
      </c>
      <c r="C51" s="1511"/>
      <c r="D51" s="1511"/>
      <c r="E51" s="1511"/>
      <c r="F51" s="1511"/>
      <c r="G51" s="1511"/>
      <c r="H51" s="450"/>
      <c r="I51" s="1179"/>
      <c r="J51" s="1177">
        <v>600</v>
      </c>
      <c r="K51" s="15"/>
      <c r="L51" s="1178" t="s">
        <v>1968</v>
      </c>
    </row>
    <row r="52" spans="1:12" ht="7.5" customHeight="1" x14ac:dyDescent="0.2">
      <c r="A52" s="1104"/>
      <c r="B52" s="1763"/>
      <c r="C52" s="1763"/>
      <c r="D52" s="1763"/>
      <c r="E52" s="1763"/>
      <c r="F52" s="1763"/>
      <c r="G52" s="1763"/>
      <c r="H52" s="424"/>
      <c r="I52" s="1105"/>
      <c r="J52" s="1106"/>
    </row>
    <row r="53" spans="1:12" ht="18.75" customHeight="1" x14ac:dyDescent="0.2">
      <c r="A53" s="1107"/>
      <c r="B53" s="1108" t="str">
        <f>"Version: "&amp;D63</f>
        <v>Version: 3.03.E0</v>
      </c>
      <c r="J53" s="1109" t="s">
        <v>25</v>
      </c>
    </row>
    <row r="55" spans="1:12" x14ac:dyDescent="0.2">
      <c r="A55" s="1110" t="s">
        <v>1226</v>
      </c>
      <c r="B55" s="407" t="s">
        <v>1227</v>
      </c>
    </row>
    <row r="56" spans="1:12" x14ac:dyDescent="0.2">
      <c r="B56" s="407" t="s">
        <v>1228</v>
      </c>
    </row>
    <row r="57" spans="1:12" x14ac:dyDescent="0.2">
      <c r="B57" s="407" t="s">
        <v>1229</v>
      </c>
    </row>
    <row r="60" spans="1:12" x14ac:dyDescent="0.2">
      <c r="A60" s="1095"/>
      <c r="B60" s="939"/>
      <c r="C60" s="445" t="s">
        <v>24</v>
      </c>
      <c r="D60" s="446" t="str">
        <f>I2</f>
        <v>XXXXXX</v>
      </c>
    </row>
    <row r="61" spans="1:12" x14ac:dyDescent="0.2">
      <c r="A61" s="434"/>
      <c r="B61" s="1111"/>
      <c r="D61" s="448" t="str">
        <f>I1</f>
        <v>P_DISCLOSURE_KM1</v>
      </c>
    </row>
    <row r="62" spans="1:12" x14ac:dyDescent="0.2">
      <c r="A62" s="434"/>
      <c r="B62" s="1111"/>
      <c r="D62" s="448" t="str">
        <f>I3</f>
        <v>NA, only help file</v>
      </c>
    </row>
    <row r="63" spans="1:12" x14ac:dyDescent="0.2">
      <c r="A63" s="434"/>
      <c r="B63" s="1111"/>
      <c r="D63" s="449" t="s">
        <v>1230</v>
      </c>
    </row>
    <row r="64" spans="1:12" x14ac:dyDescent="0.2">
      <c r="A64" s="434"/>
      <c r="B64" s="1111"/>
      <c r="D64" s="450" t="str">
        <f>I10</f>
        <v>col. 01</v>
      </c>
    </row>
    <row r="65" spans="1:4" x14ac:dyDescent="0.2">
      <c r="A65" s="434"/>
      <c r="B65" s="1111"/>
      <c r="D65" s="451">
        <f>COUNTIF(K11:L51,"ERROR")</f>
        <v>2</v>
      </c>
    </row>
    <row r="66" spans="1:4" x14ac:dyDescent="0.2">
      <c r="A66" s="1112"/>
      <c r="B66" s="431"/>
      <c r="C66" s="452"/>
      <c r="D66" s="1113">
        <f>COUNTIF(K11:L51,"Warning")</f>
        <v>0</v>
      </c>
    </row>
    <row r="67" spans="1:4" x14ac:dyDescent="0.2">
      <c r="B67" s="1114"/>
      <c r="C67" s="420"/>
    </row>
  </sheetData>
  <mergeCells count="41">
    <mergeCell ref="B48:G48"/>
    <mergeCell ref="B49:G49"/>
    <mergeCell ref="B52:G52"/>
    <mergeCell ref="B42:G42"/>
    <mergeCell ref="B43:G43"/>
    <mergeCell ref="B44:G44"/>
    <mergeCell ref="B45:G45"/>
    <mergeCell ref="B46:G46"/>
    <mergeCell ref="B47:G47"/>
    <mergeCell ref="B51:G51"/>
    <mergeCell ref="B50:G50"/>
    <mergeCell ref="B41:G41"/>
    <mergeCell ref="B30:G30"/>
    <mergeCell ref="B31:G31"/>
    <mergeCell ref="B32:G32"/>
    <mergeCell ref="B33:G33"/>
    <mergeCell ref="B34:G34"/>
    <mergeCell ref="B35:G35"/>
    <mergeCell ref="B36:G36"/>
    <mergeCell ref="B37:G37"/>
    <mergeCell ref="B38:G38"/>
    <mergeCell ref="B39:G39"/>
    <mergeCell ref="B40:G40"/>
    <mergeCell ref="B29:G29"/>
    <mergeCell ref="B18:G18"/>
    <mergeCell ref="B19:G19"/>
    <mergeCell ref="B20:G20"/>
    <mergeCell ref="B21:G21"/>
    <mergeCell ref="B22:G22"/>
    <mergeCell ref="B24:G24"/>
    <mergeCell ref="B25:G25"/>
    <mergeCell ref="B26:G26"/>
    <mergeCell ref="B27:G27"/>
    <mergeCell ref="B28:G28"/>
    <mergeCell ref="B23:G23"/>
    <mergeCell ref="B17:G17"/>
    <mergeCell ref="B12:G12"/>
    <mergeCell ref="B13:G13"/>
    <mergeCell ref="B14:G14"/>
    <mergeCell ref="B15:G15"/>
    <mergeCell ref="B16:G16"/>
  </mergeCells>
  <phoneticPr fontId="7" type="noConversion"/>
  <dataValidations count="2">
    <dataValidation type="decimal" operator="notEqual" allowBlank="1" showInputMessage="1" showErrorMessage="1" errorTitle="Zahl" error="Hier ist nur ein Zahlenwert erlaubt" sqref="G53:H53" xr:uid="{FE23DECC-DF92-4178-8A66-C7A3E05C3CE6}">
      <formula1>9.99999999999999</formula1>
    </dataValidation>
    <dataValidation type="list" allowBlank="1" showInputMessage="1" showErrorMessage="1" sqref="I51" xr:uid="{9DBF69E6-62CA-4BBC-A717-69F253CE5245}">
      <formula1>"Yes,No"</formula1>
    </dataValidation>
  </dataValidations>
  <printOptions gridLines="1" gridLinesSet="0"/>
  <pageMargins left="0.59055118110236227" right="0.59055118110236227" top="0.78740157480314965" bottom="0.39370078740157483" header="0.31496062992125984" footer="0.31496062992125984"/>
  <pageSetup paperSize="9" scale="52" fitToHeight="3" pageOrder="overThenDown" orientation="portrait" r:id="rId1"/>
  <headerFooter alignWithMargins="0">
    <oddFooter>&amp;L&amp;"Arial,Fett"SNB Confidential&amp;C&amp;D&amp;RPage &amp;P</odd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tabColor rgb="FFFF0000"/>
  </sheetPr>
  <dimension ref="A1:Y31"/>
  <sheetViews>
    <sheetView workbookViewId="0"/>
  </sheetViews>
  <sheetFormatPr defaultColWidth="13.42578125" defaultRowHeight="12.75" x14ac:dyDescent="0.2"/>
  <cols>
    <col min="1" max="1" width="13" style="406" customWidth="1"/>
    <col min="2" max="2" width="32.5703125" style="407" customWidth="1"/>
    <col min="3" max="3" width="13.42578125" style="407" customWidth="1"/>
    <col min="4" max="4" width="15.5703125" style="407" customWidth="1"/>
    <col min="5" max="5" width="10.5703125" style="407" customWidth="1"/>
    <col min="6" max="6" width="15.42578125" style="407" customWidth="1"/>
    <col min="7" max="7" width="22.42578125" style="407" customWidth="1"/>
    <col min="8" max="8" width="1.42578125" style="407" customWidth="1"/>
    <col min="9" max="11" width="21.42578125" style="407" customWidth="1"/>
    <col min="12" max="12" width="20.5703125" style="407" customWidth="1"/>
    <col min="13" max="13" width="21.42578125" style="407" bestFit="1" customWidth="1"/>
    <col min="14" max="14" width="13.42578125" style="409"/>
    <col min="15" max="15" width="18.5703125" style="410" bestFit="1" customWidth="1"/>
    <col min="16" max="16" width="14.42578125" style="407" bestFit="1" customWidth="1"/>
    <col min="17" max="17" width="14.42578125" style="407" customWidth="1"/>
    <col min="18" max="18" width="15.5703125" style="407" customWidth="1"/>
    <col min="19" max="19" width="4.42578125" style="407" customWidth="1"/>
    <col min="20" max="24" width="10" style="407" customWidth="1"/>
    <col min="25" max="16384" width="13.42578125" style="407"/>
  </cols>
  <sheetData>
    <row r="1" spans="1:25" s="940" customFormat="1" ht="25.35" customHeight="1" x14ac:dyDescent="0.2">
      <c r="A1" s="1116"/>
      <c r="J1" s="1117" t="s">
        <v>100</v>
      </c>
      <c r="K1" s="1118" t="s">
        <v>1727</v>
      </c>
      <c r="N1" s="1119"/>
      <c r="O1" s="1120"/>
    </row>
    <row r="2" spans="1:25" s="940" customFormat="1" ht="25.35" customHeight="1" x14ac:dyDescent="0.2">
      <c r="A2" s="1121"/>
      <c r="B2" s="1122"/>
      <c r="J2" s="1117" t="s">
        <v>98</v>
      </c>
      <c r="K2" s="1123" t="s">
        <v>119</v>
      </c>
      <c r="N2" s="1119"/>
    </row>
    <row r="3" spans="1:25" s="940" customFormat="1" ht="25.35" customHeight="1" x14ac:dyDescent="0.2">
      <c r="A3" s="1116"/>
      <c r="J3" s="1117" t="s">
        <v>96</v>
      </c>
      <c r="K3" s="1124" t="s">
        <v>121</v>
      </c>
      <c r="N3" s="1119"/>
    </row>
    <row r="4" spans="1:25" s="1120" customFormat="1" ht="18.75" customHeight="1" x14ac:dyDescent="0.2">
      <c r="A4" s="1125"/>
      <c r="B4" s="488"/>
      <c r="C4" s="232"/>
      <c r="D4" s="232"/>
      <c r="E4" s="232"/>
      <c r="F4" s="232"/>
      <c r="G4" s="232"/>
      <c r="H4" s="232"/>
      <c r="I4" s="502"/>
      <c r="J4" s="502"/>
      <c r="K4" s="502"/>
      <c r="L4" s="1126"/>
      <c r="M4" s="940"/>
      <c r="N4" s="1119"/>
    </row>
    <row r="5" spans="1:25" s="940" customFormat="1" ht="16.350000000000001" customHeight="1" x14ac:dyDescent="0.2">
      <c r="A5" s="1127"/>
      <c r="B5" s="1128" t="s">
        <v>1713</v>
      </c>
      <c r="C5" s="1129"/>
      <c r="D5" s="1130"/>
      <c r="E5" s="1130"/>
      <c r="F5" s="1130"/>
      <c r="G5" s="1130"/>
      <c r="H5" s="1131"/>
      <c r="I5" s="1488" t="s">
        <v>1721</v>
      </c>
      <c r="J5" s="1489"/>
      <c r="K5" s="1489"/>
      <c r="L5" s="1489"/>
      <c r="M5" s="1489"/>
      <c r="N5" s="1489"/>
      <c r="O5" s="1489"/>
      <c r="P5" s="1489"/>
      <c r="Q5" s="1489"/>
      <c r="R5" s="1493"/>
      <c r="S5" s="1132"/>
    </row>
    <row r="6" spans="1:25" s="940" customFormat="1" ht="16.350000000000001" customHeight="1" x14ac:dyDescent="0.2">
      <c r="A6" s="1121"/>
      <c r="B6" s="1133"/>
      <c r="C6" s="1134"/>
      <c r="D6" s="1122"/>
      <c r="E6" s="1122"/>
      <c r="F6" s="1122"/>
      <c r="G6" s="1122"/>
      <c r="H6" s="1135"/>
      <c r="I6" s="1488" t="s">
        <v>1481</v>
      </c>
      <c r="J6" s="1489"/>
      <c r="K6" s="1489"/>
      <c r="L6" s="1489"/>
      <c r="M6" s="1489"/>
      <c r="N6" s="1489"/>
      <c r="O6" s="1489"/>
      <c r="P6" s="1490" t="s">
        <v>1497</v>
      </c>
      <c r="Q6" s="1490" t="s">
        <v>1726</v>
      </c>
      <c r="R6" s="1490" t="s">
        <v>346</v>
      </c>
      <c r="S6" s="1136"/>
    </row>
    <row r="7" spans="1:25" s="940" customFormat="1" ht="65.25" customHeight="1" x14ac:dyDescent="0.25">
      <c r="A7" s="1137"/>
      <c r="B7" s="1492" t="s">
        <v>1725</v>
      </c>
      <c r="C7" s="1492"/>
      <c r="D7" s="1492"/>
      <c r="E7" s="1492"/>
      <c r="F7" s="1492"/>
      <c r="G7" s="1492"/>
      <c r="H7" s="1138"/>
      <c r="I7" s="1139" t="s">
        <v>1715</v>
      </c>
      <c r="J7" s="1139" t="s">
        <v>1716</v>
      </c>
      <c r="K7" s="1139" t="s">
        <v>1717</v>
      </c>
      <c r="L7" s="1139" t="s">
        <v>1718</v>
      </c>
      <c r="M7" s="1139" t="s">
        <v>1719</v>
      </c>
      <c r="N7" s="1139" t="s">
        <v>107</v>
      </c>
      <c r="O7" s="1140" t="s">
        <v>1720</v>
      </c>
      <c r="P7" s="1491"/>
      <c r="Q7" s="1491"/>
      <c r="R7" s="1491" t="s">
        <v>346</v>
      </c>
      <c r="S7" s="1141"/>
      <c r="T7" s="1142"/>
      <c r="U7" s="1142"/>
      <c r="V7" s="1120"/>
    </row>
    <row r="8" spans="1:25" s="940" customFormat="1" ht="15.75" x14ac:dyDescent="0.25">
      <c r="A8" s="1121"/>
      <c r="B8" s="1143"/>
      <c r="C8" s="1143"/>
      <c r="D8" s="1143"/>
      <c r="E8" s="1143"/>
      <c r="F8" s="1143"/>
      <c r="G8" s="1143"/>
      <c r="H8" s="1144"/>
      <c r="I8" s="1145" t="s">
        <v>22</v>
      </c>
      <c r="J8" s="1145" t="s">
        <v>21</v>
      </c>
      <c r="K8" s="1145" t="s">
        <v>20</v>
      </c>
      <c r="L8" s="1145" t="s">
        <v>19</v>
      </c>
      <c r="M8" s="1145" t="s">
        <v>18</v>
      </c>
      <c r="N8" s="1145" t="s">
        <v>17</v>
      </c>
      <c r="O8" s="1145" t="s">
        <v>16</v>
      </c>
      <c r="P8" s="1145" t="s">
        <v>15</v>
      </c>
      <c r="Q8" s="1145" t="s">
        <v>14</v>
      </c>
      <c r="R8" s="1145" t="s">
        <v>13</v>
      </c>
      <c r="S8" s="1136"/>
      <c r="T8" s="1142"/>
      <c r="U8" s="1142"/>
      <c r="V8" s="1120"/>
    </row>
    <row r="9" spans="1:25" s="1120" customFormat="1" ht="21.6" customHeight="1" x14ac:dyDescent="0.2">
      <c r="A9" s="1146"/>
      <c r="B9" s="1487" t="s">
        <v>1709</v>
      </c>
      <c r="C9" s="1487"/>
      <c r="D9" s="1487"/>
      <c r="E9" s="1487"/>
      <c r="F9" s="1487"/>
      <c r="G9" s="1487"/>
      <c r="H9" s="1135"/>
      <c r="I9" s="611"/>
      <c r="J9" s="611"/>
      <c r="K9" s="611"/>
      <c r="L9" s="611"/>
      <c r="M9" s="611"/>
      <c r="N9" s="611"/>
      <c r="O9" s="611"/>
      <c r="P9" s="611"/>
      <c r="Q9" s="611"/>
      <c r="R9" s="1147"/>
      <c r="S9" s="1015" t="s">
        <v>241</v>
      </c>
      <c r="W9" s="940"/>
      <c r="X9" s="940"/>
      <c r="Y9" s="940"/>
    </row>
    <row r="10" spans="1:25" s="1120" customFormat="1" ht="21.6" customHeight="1" x14ac:dyDescent="0.2">
      <c r="A10" s="1146"/>
      <c r="B10" s="1487" t="s">
        <v>1710</v>
      </c>
      <c r="C10" s="1487"/>
      <c r="D10" s="1487"/>
      <c r="E10" s="1487"/>
      <c r="F10" s="1487"/>
      <c r="G10" s="1487"/>
      <c r="H10" s="1135"/>
      <c r="I10" s="611"/>
      <c r="J10" s="611"/>
      <c r="K10" s="611"/>
      <c r="L10" s="611"/>
      <c r="M10" s="611"/>
      <c r="N10" s="611"/>
      <c r="O10" s="611"/>
      <c r="P10" s="611"/>
      <c r="Q10" s="611"/>
      <c r="R10" s="611"/>
      <c r="S10" s="1015" t="s">
        <v>241</v>
      </c>
      <c r="T10" s="1122"/>
      <c r="U10" s="1142"/>
      <c r="W10" s="940"/>
      <c r="X10" s="940"/>
      <c r="Y10" s="940"/>
    </row>
    <row r="11" spans="1:25" s="1120" customFormat="1" ht="21.6" customHeight="1" x14ac:dyDescent="0.2">
      <c r="A11" s="1146"/>
      <c r="B11" s="1487" t="s">
        <v>1712</v>
      </c>
      <c r="C11" s="1487"/>
      <c r="D11" s="1487"/>
      <c r="E11" s="1487"/>
      <c r="F11" s="1487"/>
      <c r="G11" s="1487"/>
      <c r="H11" s="1135"/>
      <c r="I11" s="611"/>
      <c r="J11" s="611"/>
      <c r="K11" s="611"/>
      <c r="L11" s="611"/>
      <c r="M11" s="611"/>
      <c r="N11" s="611"/>
      <c r="O11" s="611"/>
      <c r="P11" s="611"/>
      <c r="Q11" s="611"/>
      <c r="R11" s="611"/>
      <c r="S11" s="1015" t="s">
        <v>241</v>
      </c>
      <c r="T11" s="1122"/>
      <c r="U11" s="1142"/>
      <c r="W11" s="940"/>
      <c r="X11" s="940"/>
      <c r="Y11" s="940"/>
    </row>
    <row r="12" spans="1:25" s="1120" customFormat="1" ht="21.6" customHeight="1" x14ac:dyDescent="0.2">
      <c r="A12" s="1146"/>
      <c r="B12" s="1148" t="s">
        <v>1711</v>
      </c>
      <c r="C12" s="1148"/>
      <c r="D12" s="1148"/>
      <c r="E12" s="1148"/>
      <c r="F12" s="1148"/>
      <c r="G12" s="1148"/>
      <c r="H12" s="1135"/>
      <c r="I12" s="611"/>
      <c r="J12" s="611"/>
      <c r="K12" s="611"/>
      <c r="L12" s="611"/>
      <c r="M12" s="611"/>
      <c r="N12" s="611"/>
      <c r="O12" s="611"/>
      <c r="P12" s="611"/>
      <c r="Q12" s="611"/>
      <c r="R12" s="611"/>
      <c r="S12" s="1015" t="s">
        <v>241</v>
      </c>
      <c r="T12" s="1122"/>
      <c r="U12" s="1142"/>
      <c r="W12" s="940"/>
      <c r="X12" s="940"/>
      <c r="Y12" s="940"/>
    </row>
    <row r="13" spans="1:25" s="1120" customFormat="1" ht="21.6" customHeight="1" x14ac:dyDescent="0.2">
      <c r="A13" s="1146"/>
      <c r="B13" s="1148"/>
      <c r="C13" s="1148"/>
      <c r="D13" s="1148"/>
      <c r="E13" s="1148"/>
      <c r="F13" s="1148"/>
      <c r="G13" s="1148"/>
      <c r="H13" s="1135"/>
      <c r="I13" s="611"/>
      <c r="J13" s="611"/>
      <c r="K13" s="611"/>
      <c r="L13" s="611"/>
      <c r="M13" s="611"/>
      <c r="N13" s="611"/>
      <c r="O13" s="611"/>
      <c r="P13" s="611"/>
      <c r="Q13" s="611"/>
      <c r="R13" s="611"/>
      <c r="S13" s="1015" t="s">
        <v>241</v>
      </c>
      <c r="T13" s="1122"/>
      <c r="U13" s="1142"/>
      <c r="W13" s="940"/>
      <c r="X13" s="940"/>
      <c r="Y13" s="940"/>
    </row>
    <row r="14" spans="1:25" s="1120" customFormat="1" ht="21.6" customHeight="1" x14ac:dyDescent="0.2">
      <c r="A14" s="1146"/>
      <c r="B14" s="1148"/>
      <c r="C14" s="1148"/>
      <c r="D14" s="1148"/>
      <c r="E14" s="1148"/>
      <c r="F14" s="1148"/>
      <c r="G14" s="1148"/>
      <c r="H14" s="1135"/>
      <c r="I14" s="611"/>
      <c r="J14" s="611"/>
      <c r="K14" s="611"/>
      <c r="L14" s="611"/>
      <c r="M14" s="611"/>
      <c r="N14" s="611"/>
      <c r="O14" s="611"/>
      <c r="P14" s="611"/>
      <c r="Q14" s="611"/>
      <c r="R14" s="611"/>
      <c r="S14" s="1015" t="s">
        <v>241</v>
      </c>
      <c r="T14" s="1122"/>
      <c r="U14" s="1142"/>
      <c r="W14" s="940"/>
      <c r="X14" s="940"/>
      <c r="Y14" s="940"/>
    </row>
    <row r="15" spans="1:25" s="1120" customFormat="1" ht="21.6" customHeight="1" x14ac:dyDescent="0.2">
      <c r="A15" s="1146"/>
      <c r="B15" s="1148"/>
      <c r="C15" s="1148"/>
      <c r="D15" s="1148"/>
      <c r="E15" s="1148"/>
      <c r="F15" s="1148"/>
      <c r="G15" s="1148"/>
      <c r="H15" s="1135"/>
      <c r="I15" s="611"/>
      <c r="J15" s="611"/>
      <c r="K15" s="611"/>
      <c r="L15" s="611"/>
      <c r="M15" s="611"/>
      <c r="N15" s="611"/>
      <c r="O15" s="611"/>
      <c r="P15" s="611"/>
      <c r="Q15" s="611"/>
      <c r="R15" s="611"/>
      <c r="S15" s="1015" t="s">
        <v>241</v>
      </c>
      <c r="T15" s="1122"/>
      <c r="U15" s="1142"/>
      <c r="W15" s="940"/>
      <c r="X15" s="940"/>
      <c r="Y15" s="940"/>
    </row>
    <row r="16" spans="1:25" s="1120" customFormat="1" ht="21.6" customHeight="1" x14ac:dyDescent="0.2">
      <c r="A16" s="1146"/>
      <c r="B16" s="1148"/>
      <c r="C16" s="1148"/>
      <c r="D16" s="1148"/>
      <c r="E16" s="1148"/>
      <c r="F16" s="1148"/>
      <c r="G16" s="1148"/>
      <c r="H16" s="1135"/>
      <c r="I16" s="611"/>
      <c r="J16" s="611"/>
      <c r="K16" s="611"/>
      <c r="L16" s="611"/>
      <c r="M16" s="611"/>
      <c r="N16" s="611"/>
      <c r="O16" s="611"/>
      <c r="P16" s="611"/>
      <c r="Q16" s="611"/>
      <c r="R16" s="611"/>
      <c r="S16" s="1015" t="s">
        <v>241</v>
      </c>
      <c r="T16" s="1122"/>
      <c r="U16" s="1142"/>
      <c r="W16" s="940"/>
      <c r="X16" s="940"/>
      <c r="Y16" s="940"/>
    </row>
    <row r="17" spans="1:25" s="1120" customFormat="1" ht="21.6" customHeight="1" x14ac:dyDescent="0.2">
      <c r="A17" s="1146"/>
      <c r="B17" s="1487" t="s">
        <v>1714</v>
      </c>
      <c r="C17" s="1487"/>
      <c r="D17" s="1487"/>
      <c r="E17" s="1487"/>
      <c r="F17" s="1487"/>
      <c r="G17" s="1487"/>
      <c r="H17" s="1135"/>
      <c r="I17" s="611"/>
      <c r="J17" s="611"/>
      <c r="K17" s="611"/>
      <c r="L17" s="611"/>
      <c r="M17" s="611"/>
      <c r="N17" s="611"/>
      <c r="O17" s="611"/>
      <c r="P17" s="611"/>
      <c r="Q17" s="611"/>
      <c r="R17" s="611"/>
      <c r="S17" s="1015" t="s">
        <v>241</v>
      </c>
      <c r="T17" s="1122"/>
      <c r="U17" s="1142"/>
      <c r="W17" s="940"/>
      <c r="X17" s="940"/>
      <c r="Y17" s="940"/>
    </row>
    <row r="18" spans="1:25" s="1120" customFormat="1" x14ac:dyDescent="0.2">
      <c r="A18" s="1121"/>
      <c r="B18" s="940"/>
      <c r="C18" s="940"/>
      <c r="D18" s="940"/>
      <c r="E18" s="940"/>
      <c r="F18" s="940"/>
      <c r="G18" s="940"/>
      <c r="H18" s="940"/>
      <c r="I18" s="940"/>
      <c r="J18" s="940"/>
      <c r="K18" s="940"/>
      <c r="L18" s="940"/>
      <c r="M18" s="940"/>
      <c r="N18" s="1119"/>
    </row>
    <row r="19" spans="1:25" s="1120" customFormat="1" x14ac:dyDescent="0.2">
      <c r="A19" s="1149" t="s">
        <v>1226</v>
      </c>
      <c r="B19" s="940" t="s">
        <v>1227</v>
      </c>
      <c r="C19" s="940"/>
      <c r="D19" s="940"/>
      <c r="E19" s="940"/>
      <c r="F19" s="940"/>
      <c r="G19" s="940"/>
      <c r="H19" s="940"/>
      <c r="I19" s="940"/>
      <c r="J19" s="940"/>
      <c r="K19" s="940"/>
      <c r="L19" s="940"/>
      <c r="M19" s="940"/>
      <c r="N19" s="1142"/>
    </row>
    <row r="20" spans="1:25" s="1120" customFormat="1" x14ac:dyDescent="0.2">
      <c r="A20" s="1121"/>
      <c r="B20" s="940" t="s">
        <v>1228</v>
      </c>
      <c r="C20" s="940"/>
      <c r="D20" s="940"/>
      <c r="E20" s="940"/>
      <c r="F20" s="940"/>
      <c r="G20" s="940"/>
      <c r="H20" s="940"/>
      <c r="I20" s="940"/>
      <c r="J20" s="940"/>
      <c r="K20" s="940"/>
      <c r="L20" s="940"/>
      <c r="M20" s="940"/>
      <c r="N20" s="1119"/>
    </row>
    <row r="21" spans="1:25" s="1120" customFormat="1" x14ac:dyDescent="0.2">
      <c r="A21" s="1121"/>
      <c r="B21" s="940" t="s">
        <v>1229</v>
      </c>
      <c r="C21" s="940"/>
      <c r="D21" s="940"/>
      <c r="E21" s="940"/>
      <c r="F21" s="940"/>
      <c r="G21" s="940"/>
      <c r="H21" s="940"/>
      <c r="I21" s="940"/>
      <c r="J21" s="940"/>
      <c r="K21" s="940"/>
      <c r="L21" s="940"/>
      <c r="M21" s="940"/>
      <c r="N21" s="1119"/>
    </row>
    <row r="22" spans="1:25" s="1120" customFormat="1" x14ac:dyDescent="0.2">
      <c r="A22" s="1121"/>
      <c r="B22" s="940"/>
      <c r="C22" s="940"/>
      <c r="D22" s="940"/>
      <c r="E22" s="940"/>
      <c r="F22" s="940"/>
      <c r="G22" s="940"/>
      <c r="H22" s="940"/>
      <c r="I22" s="940"/>
      <c r="J22" s="940"/>
      <c r="K22" s="940"/>
      <c r="L22" s="940"/>
      <c r="M22" s="940"/>
      <c r="N22" s="1119"/>
    </row>
    <row r="23" spans="1:25" s="940" customFormat="1" x14ac:dyDescent="0.2">
      <c r="A23" s="1116"/>
      <c r="N23" s="1119"/>
      <c r="O23" s="1120"/>
    </row>
    <row r="24" spans="1:25" s="1120" customFormat="1" x14ac:dyDescent="0.2">
      <c r="A24" s="1150"/>
      <c r="B24" s="1151"/>
      <c r="C24" s="1152" t="s">
        <v>24</v>
      </c>
      <c r="D24" s="1153" t="str">
        <f>K2</f>
        <v>XXXXXX</v>
      </c>
      <c r="E24" s="940"/>
      <c r="F24" s="940"/>
      <c r="G24" s="940"/>
      <c r="H24" s="940"/>
      <c r="I24" s="940"/>
      <c r="J24" s="940"/>
      <c r="K24" s="940"/>
      <c r="L24" s="940"/>
      <c r="M24" s="940"/>
      <c r="N24" s="1119"/>
    </row>
    <row r="25" spans="1:25" s="1120" customFormat="1" x14ac:dyDescent="0.2">
      <c r="A25" s="1154"/>
      <c r="B25" s="1155"/>
      <c r="C25" s="1122"/>
      <c r="D25" s="1156" t="str">
        <f>K1</f>
        <v>P_CRSABIS_CRA</v>
      </c>
      <c r="E25" s="940"/>
      <c r="F25" s="940"/>
      <c r="G25" s="940"/>
      <c r="H25" s="940"/>
      <c r="I25" s="940"/>
      <c r="J25" s="940"/>
      <c r="K25" s="940"/>
      <c r="L25" s="940"/>
      <c r="M25" s="940"/>
      <c r="N25" s="1119"/>
    </row>
    <row r="26" spans="1:25" s="1120" customFormat="1" x14ac:dyDescent="0.2">
      <c r="A26" s="1154"/>
      <c r="B26" s="1155"/>
      <c r="C26" s="1122"/>
      <c r="D26" s="1156" t="str">
        <f>K3</f>
        <v>DD.MM.YYYY</v>
      </c>
      <c r="E26" s="940"/>
      <c r="F26" s="940"/>
      <c r="G26" s="940"/>
      <c r="H26" s="940"/>
      <c r="I26" s="940"/>
      <c r="J26" s="940"/>
      <c r="K26" s="940"/>
      <c r="L26" s="940"/>
      <c r="M26" s="940"/>
      <c r="N26" s="1119"/>
    </row>
    <row r="27" spans="1:25" s="1120" customFormat="1" x14ac:dyDescent="0.2">
      <c r="A27" s="1154"/>
      <c r="B27" s="1155"/>
      <c r="C27" s="1122"/>
      <c r="D27" s="1157" t="s">
        <v>1230</v>
      </c>
      <c r="E27" s="940"/>
      <c r="F27" s="940"/>
      <c r="G27" s="940"/>
      <c r="H27" s="940"/>
      <c r="I27" s="940"/>
      <c r="J27" s="940"/>
      <c r="K27" s="940"/>
      <c r="L27" s="940"/>
      <c r="M27" s="940"/>
      <c r="N27" s="1119"/>
    </row>
    <row r="28" spans="1:25" s="1120" customFormat="1" x14ac:dyDescent="0.2">
      <c r="A28" s="1154"/>
      <c r="B28" s="1155"/>
      <c r="C28" s="1122"/>
      <c r="D28" s="1135" t="e">
        <f>#REF!</f>
        <v>#REF!</v>
      </c>
      <c r="E28" s="940"/>
      <c r="F28" s="940"/>
      <c r="G28" s="940"/>
      <c r="H28" s="940"/>
      <c r="I28" s="940"/>
      <c r="J28" s="940"/>
      <c r="K28" s="940"/>
      <c r="L28" s="940"/>
      <c r="M28" s="940"/>
      <c r="N28" s="1119"/>
    </row>
    <row r="29" spans="1:25" s="1120" customFormat="1" x14ac:dyDescent="0.2">
      <c r="A29" s="1154"/>
      <c r="B29" s="1155"/>
      <c r="C29" s="1122"/>
      <c r="D29" s="1158" t="e">
        <f>COUNTIF(#REF!,"ERROR")</f>
        <v>#REF!</v>
      </c>
      <c r="E29" s="940"/>
      <c r="F29" s="940"/>
      <c r="G29" s="940"/>
      <c r="H29" s="940"/>
      <c r="I29" s="940"/>
      <c r="J29" s="940"/>
      <c r="K29" s="940"/>
      <c r="L29" s="940"/>
      <c r="M29" s="940"/>
      <c r="N29" s="1119"/>
    </row>
    <row r="30" spans="1:25" s="1120" customFormat="1" x14ac:dyDescent="0.2">
      <c r="A30" s="1159"/>
      <c r="B30" s="1160"/>
      <c r="C30" s="1161"/>
      <c r="D30" s="1162" t="e">
        <f>COUNTIF(#REF!,"Warning")</f>
        <v>#REF!</v>
      </c>
      <c r="E30" s="940"/>
      <c r="F30" s="940"/>
      <c r="G30" s="940"/>
      <c r="H30" s="940"/>
      <c r="I30" s="940"/>
      <c r="J30" s="940"/>
      <c r="K30" s="940"/>
      <c r="L30" s="940"/>
      <c r="M30" s="940"/>
      <c r="N30" s="1119"/>
    </row>
    <row r="31" spans="1:25" s="410" customFormat="1" x14ac:dyDescent="0.2">
      <c r="A31" s="411"/>
      <c r="B31" s="454"/>
      <c r="C31" s="455"/>
      <c r="D31" s="412"/>
      <c r="E31" s="407"/>
      <c r="F31" s="407"/>
      <c r="G31" s="407"/>
      <c r="H31" s="407"/>
      <c r="I31" s="407"/>
      <c r="J31" s="407"/>
      <c r="K31" s="407"/>
      <c r="L31" s="407"/>
      <c r="M31" s="407"/>
      <c r="N31" s="409"/>
    </row>
  </sheetData>
  <mergeCells count="10">
    <mergeCell ref="Q6:Q7"/>
    <mergeCell ref="R6:R7"/>
    <mergeCell ref="B7:G7"/>
    <mergeCell ref="B9:G9"/>
    <mergeCell ref="I5:R5"/>
    <mergeCell ref="B10:G10"/>
    <mergeCell ref="B11:G11"/>
    <mergeCell ref="B17:G17"/>
    <mergeCell ref="I6:O6"/>
    <mergeCell ref="P6:P7"/>
  </mergeCells>
  <dataValidations count="1">
    <dataValidation type="decimal" operator="notEqual" allowBlank="1" showInputMessage="1" showErrorMessage="1" errorTitle="Zahl" error="Hier ist nur ein Zahlenwert erlaubt" sqref="G7:G8 G4:H4" xr:uid="{00000000-0002-0000-0300-000000000000}">
      <formula1>9.99999999999999</formula1>
    </dataValidation>
  </dataValidations>
  <printOptions gridLines="1" gridLinesSet="0"/>
  <pageMargins left="0.59055118110236227" right="0.59055118110236227" top="0.78740157480314965" bottom="0.39370078740157483" header="0.31496062992125984" footer="0.31496062992125984"/>
  <pageSetup paperSize="9" scale="52" fitToHeight="3" pageOrder="overThenDown" orientation="portrait" r:id="rId1"/>
  <headerFooter alignWithMargins="0">
    <oddFooter>&amp;L&amp;"Arial,Fett"SNB Confidential&amp;C&amp;D&amp;RPage &amp;P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tabColor rgb="FFFF0000"/>
  </sheetPr>
  <dimension ref="A1:T510"/>
  <sheetViews>
    <sheetView workbookViewId="0">
      <selection activeCell="B38" sqref="B38:G38"/>
    </sheetView>
  </sheetViews>
  <sheetFormatPr defaultColWidth="13.42578125" defaultRowHeight="12.75" x14ac:dyDescent="0.2"/>
  <cols>
    <col min="1" max="1" width="13" style="278" customWidth="1"/>
    <col min="2" max="2" width="32.5703125" style="1" customWidth="1"/>
    <col min="3" max="3" width="13.42578125" style="1" customWidth="1"/>
    <col min="4" max="4" width="15.5703125" style="1" customWidth="1"/>
    <col min="5" max="5" width="10.5703125" style="1" customWidth="1"/>
    <col min="6" max="6" width="15.5703125" style="1" customWidth="1"/>
    <col min="7" max="7" width="35" style="1" customWidth="1"/>
    <col min="8" max="8" width="1.5703125" style="1" customWidth="1"/>
    <col min="9" max="9" width="25.42578125" style="1" customWidth="1"/>
    <col min="10" max="10" width="5.42578125" style="1" bestFit="1" customWidth="1"/>
    <col min="11" max="11" width="13" style="1" customWidth="1"/>
    <col min="12" max="12" width="13.42578125" style="280"/>
    <col min="13" max="13" width="4.5703125" customWidth="1"/>
    <col min="14" max="14" width="13.42578125" style="1"/>
    <col min="15" max="21" width="10" style="1" customWidth="1"/>
    <col min="22" max="16384" width="13.42578125" style="1"/>
  </cols>
  <sheetData>
    <row r="1" spans="1:12" ht="25.35" customHeight="1" x14ac:dyDescent="0.2">
      <c r="H1" s="101" t="s">
        <v>100</v>
      </c>
      <c r="I1" s="279" t="s">
        <v>347</v>
      </c>
    </row>
    <row r="2" spans="1:12" ht="25.35" customHeight="1" x14ac:dyDescent="0.2">
      <c r="A2" s="281"/>
      <c r="B2" s="9"/>
      <c r="H2" s="101" t="s">
        <v>98</v>
      </c>
      <c r="I2" s="203" t="s">
        <v>119</v>
      </c>
    </row>
    <row r="3" spans="1:12" ht="25.35" customHeight="1" x14ac:dyDescent="0.2">
      <c r="H3" s="101" t="s">
        <v>96</v>
      </c>
      <c r="I3" s="201" t="s">
        <v>121</v>
      </c>
    </row>
    <row r="4" spans="1:12" ht="18" x14ac:dyDescent="0.25">
      <c r="A4" s="281"/>
      <c r="C4" s="200"/>
      <c r="D4" s="204" t="s">
        <v>348</v>
      </c>
    </row>
    <row r="5" spans="1:12" ht="18" x14ac:dyDescent="0.25">
      <c r="A5" s="282"/>
      <c r="B5" s="1" t="s">
        <v>349</v>
      </c>
      <c r="C5" s="198"/>
      <c r="D5" s="104" t="s">
        <v>99</v>
      </c>
    </row>
    <row r="6" spans="1:12" ht="20.100000000000001" customHeight="1" x14ac:dyDescent="0.2">
      <c r="A6" s="283"/>
      <c r="B6" s="1" t="s">
        <v>350</v>
      </c>
      <c r="D6" s="1" t="s">
        <v>351</v>
      </c>
      <c r="G6" s="207"/>
      <c r="H6" s="207"/>
      <c r="I6" s="207"/>
    </row>
    <row r="7" spans="1:12" x14ac:dyDescent="0.2">
      <c r="A7" s="283"/>
      <c r="B7" s="1" t="s">
        <v>352</v>
      </c>
      <c r="G7" s="207"/>
      <c r="H7" s="207"/>
    </row>
    <row r="8" spans="1:12" ht="16.350000000000001" customHeight="1" x14ac:dyDescent="0.2">
      <c r="A8" s="284"/>
      <c r="B8" s="205"/>
      <c r="C8" s="196"/>
      <c r="J8" s="12"/>
      <c r="K8" s="9"/>
      <c r="L8" s="285"/>
    </row>
    <row r="9" spans="1:12" ht="22.5" customHeight="1" x14ac:dyDescent="0.2">
      <c r="A9" s="286"/>
      <c r="B9" s="215"/>
      <c r="C9" s="194"/>
      <c r="D9" s="215"/>
      <c r="E9" s="215"/>
      <c r="F9" s="215"/>
      <c r="G9" s="215"/>
      <c r="H9" s="209"/>
      <c r="I9" s="287" t="s">
        <v>353</v>
      </c>
      <c r="J9" s="88"/>
      <c r="K9" s="15"/>
      <c r="L9" s="266" t="s">
        <v>354</v>
      </c>
    </row>
    <row r="10" spans="1:12" ht="29.1" customHeight="1" x14ac:dyDescent="0.2">
      <c r="A10" s="288"/>
      <c r="B10" s="12"/>
      <c r="C10" s="12"/>
      <c r="D10" s="12"/>
      <c r="E10" s="12"/>
      <c r="F10" s="12"/>
      <c r="G10" s="212"/>
      <c r="H10" s="213"/>
      <c r="I10" s="59" t="s">
        <v>22</v>
      </c>
      <c r="J10" s="58"/>
      <c r="K10" s="289"/>
      <c r="L10" s="285"/>
    </row>
    <row r="11" spans="1:12" ht="7.5" customHeight="1" x14ac:dyDescent="0.2">
      <c r="A11" s="281"/>
      <c r="G11" s="215"/>
      <c r="H11" s="216"/>
      <c r="I11" s="217"/>
      <c r="J11" s="31"/>
      <c r="K11" s="15"/>
      <c r="L11" s="285"/>
    </row>
    <row r="12" spans="1:12" ht="42.75" customHeight="1" thickBot="1" x14ac:dyDescent="0.3">
      <c r="A12" s="290" t="s">
        <v>355</v>
      </c>
      <c r="B12" s="1495" t="s">
        <v>356</v>
      </c>
      <c r="C12" s="1495"/>
      <c r="D12" s="1495"/>
      <c r="E12" s="1495"/>
      <c r="F12" s="1495"/>
      <c r="G12" s="1495"/>
      <c r="H12" s="291"/>
      <c r="I12" s="292">
        <f>I185</f>
        <v>0</v>
      </c>
      <c r="J12" s="293">
        <v>1</v>
      </c>
      <c r="K12"/>
      <c r="L12" s="294" t="str">
        <f>IF(I12&gt;0,"OK","ERROR")</f>
        <v>ERROR</v>
      </c>
    </row>
    <row r="13" spans="1:12" ht="41.25" customHeight="1" thickTop="1" thickBot="1" x14ac:dyDescent="0.3">
      <c r="A13" s="295" t="s">
        <v>357</v>
      </c>
      <c r="B13" s="1496" t="s">
        <v>358</v>
      </c>
      <c r="C13" s="1496"/>
      <c r="D13" s="1496"/>
      <c r="E13" s="1496"/>
      <c r="F13" s="1496"/>
      <c r="G13" s="1496"/>
      <c r="H13" s="291"/>
      <c r="I13" s="292">
        <f>I182</f>
        <v>0</v>
      </c>
      <c r="J13" s="293">
        <v>2</v>
      </c>
      <c r="K13"/>
      <c r="L13" s="294" t="str">
        <f>IF(I13&gt;0,"OK","ERROR")</f>
        <v>ERROR</v>
      </c>
    </row>
    <row r="14" spans="1:12" ht="35.85" customHeight="1" thickTop="1" thickBot="1" x14ac:dyDescent="0.25">
      <c r="A14" s="296" t="s">
        <v>359</v>
      </c>
      <c r="B14" s="1497" t="s">
        <v>360</v>
      </c>
      <c r="C14" s="1497"/>
      <c r="D14" s="1497"/>
      <c r="E14" s="1497"/>
      <c r="F14" s="1497"/>
      <c r="G14" s="1497"/>
      <c r="H14" s="291"/>
      <c r="I14" s="292">
        <f>I179</f>
        <v>0</v>
      </c>
      <c r="J14" s="293">
        <v>240</v>
      </c>
      <c r="K14" s="15"/>
      <c r="L14" s="294" t="str">
        <f>IF(I14&gt;0,"OK","ERROR")</f>
        <v>ERROR</v>
      </c>
    </row>
    <row r="15" spans="1:12" ht="21.6" customHeight="1" thickTop="1" x14ac:dyDescent="0.2">
      <c r="A15" s="297" t="s">
        <v>361</v>
      </c>
      <c r="B15" s="1498" t="s">
        <v>362</v>
      </c>
      <c r="C15" s="1499"/>
      <c r="D15" s="1499"/>
      <c r="E15" s="1499"/>
      <c r="F15" s="1499"/>
      <c r="G15" s="1499"/>
      <c r="H15" s="291"/>
      <c r="I15" s="245"/>
      <c r="J15" s="293">
        <v>241</v>
      </c>
      <c r="K15" s="15"/>
      <c r="L15" s="294" t="str">
        <f>IF(I15&gt;=0,"OK","ERROR")</f>
        <v>OK</v>
      </c>
    </row>
    <row r="16" spans="1:12" ht="35.85" customHeight="1" x14ac:dyDescent="0.2">
      <c r="A16" s="298" t="s">
        <v>363</v>
      </c>
      <c r="B16" s="1498" t="s">
        <v>364</v>
      </c>
      <c r="C16" s="1499"/>
      <c r="D16" s="1499"/>
      <c r="E16" s="1499"/>
      <c r="F16" s="1499"/>
      <c r="G16" s="1499"/>
      <c r="H16" s="291"/>
      <c r="I16" s="245"/>
      <c r="J16" s="293">
        <v>242</v>
      </c>
      <c r="K16" s="15"/>
      <c r="L16"/>
    </row>
    <row r="17" spans="1:15" s="302" customFormat="1" ht="21.6" customHeight="1" thickBot="1" x14ac:dyDescent="0.25">
      <c r="A17" s="299" t="s">
        <v>365</v>
      </c>
      <c r="B17" s="1500" t="s">
        <v>366</v>
      </c>
      <c r="C17" s="1501"/>
      <c r="D17" s="1501"/>
      <c r="E17" s="1501"/>
      <c r="F17" s="1501"/>
      <c r="G17" s="1501"/>
      <c r="H17" s="300"/>
      <c r="I17" s="292">
        <f>I15+I16</f>
        <v>0</v>
      </c>
      <c r="J17" s="293">
        <v>243</v>
      </c>
      <c r="K17" s="301"/>
      <c r="L17" s="294" t="str">
        <f>IF(I17&gt;=0,"OK","ERROR")</f>
        <v>OK</v>
      </c>
      <c r="M17"/>
      <c r="O17" s="1"/>
    </row>
    <row r="18" spans="1:15" ht="21.6" customHeight="1" thickTop="1" x14ac:dyDescent="0.2">
      <c r="A18" s="298" t="s">
        <v>367</v>
      </c>
      <c r="B18" s="1498" t="s">
        <v>368</v>
      </c>
      <c r="C18" s="1499"/>
      <c r="D18" s="1499"/>
      <c r="E18" s="1499"/>
      <c r="F18" s="1499"/>
      <c r="G18" s="1499"/>
      <c r="H18" s="291"/>
      <c r="I18" s="245"/>
      <c r="J18" s="293">
        <v>244</v>
      </c>
      <c r="K18" s="15"/>
      <c r="L18"/>
    </row>
    <row r="19" spans="1:15" ht="35.85" customHeight="1" x14ac:dyDescent="0.2">
      <c r="A19" s="303" t="s">
        <v>363</v>
      </c>
      <c r="B19" s="1498" t="s">
        <v>369</v>
      </c>
      <c r="C19" s="1499"/>
      <c r="D19" s="1499"/>
      <c r="E19" s="1499"/>
      <c r="F19" s="1499"/>
      <c r="G19" s="1499"/>
      <c r="H19" s="291"/>
      <c r="I19" s="245"/>
      <c r="J19" s="293">
        <v>245</v>
      </c>
      <c r="K19" s="15"/>
      <c r="L19" s="294" t="str">
        <f>IF(I19&lt;=0,"OK","ERROR")</f>
        <v>OK</v>
      </c>
    </row>
    <row r="20" spans="1:15" ht="21.6" customHeight="1" x14ac:dyDescent="0.2">
      <c r="A20" s="304" t="s">
        <v>365</v>
      </c>
      <c r="B20" s="1498" t="s">
        <v>370</v>
      </c>
      <c r="C20" s="1499"/>
      <c r="D20" s="1499"/>
      <c r="E20" s="1499"/>
      <c r="F20" s="1499"/>
      <c r="G20" s="1499"/>
      <c r="H20" s="291"/>
      <c r="I20" s="245"/>
      <c r="J20" s="293">
        <v>246</v>
      </c>
      <c r="K20" s="15"/>
      <c r="L20" s="294" t="str">
        <f>IF(I20&lt;=0,"OK","ERROR")</f>
        <v>OK</v>
      </c>
    </row>
    <row r="21" spans="1:15" ht="21.6" customHeight="1" x14ac:dyDescent="0.2">
      <c r="A21" s="304" t="s">
        <v>367</v>
      </c>
      <c r="B21" s="305" t="s">
        <v>371</v>
      </c>
      <c r="C21" s="306"/>
      <c r="D21" s="306"/>
      <c r="E21" s="306"/>
      <c r="F21" s="306"/>
      <c r="G21" s="306"/>
      <c r="H21" s="291"/>
      <c r="I21" s="245"/>
      <c r="J21" s="293">
        <v>247</v>
      </c>
      <c r="K21" s="307"/>
      <c r="L21" s="294" t="str">
        <f>IF(I21&lt;=0,"OK","ERROR")</f>
        <v>OK</v>
      </c>
    </row>
    <row r="22" spans="1:15" ht="21.6" customHeight="1" thickBot="1" x14ac:dyDescent="0.25">
      <c r="A22" s="308" t="s">
        <v>372</v>
      </c>
      <c r="B22" s="1500" t="s">
        <v>373</v>
      </c>
      <c r="C22" s="1501"/>
      <c r="D22" s="1501"/>
      <c r="E22" s="1501"/>
      <c r="F22" s="1501"/>
      <c r="G22" s="1501"/>
      <c r="H22" s="291"/>
      <c r="I22" s="292">
        <f>I17+I18+I19+I20+I21</f>
        <v>0</v>
      </c>
      <c r="J22" s="293">
        <v>248</v>
      </c>
      <c r="K22" s="15"/>
      <c r="L22" s="294" t="str">
        <f>IF(I22&gt;=SUM(I24:I33),"OK","ERROR")</f>
        <v>OK</v>
      </c>
    </row>
    <row r="23" spans="1:15" ht="21.6" customHeight="1" thickTop="1" x14ac:dyDescent="0.2">
      <c r="A23" s="304"/>
      <c r="B23" s="1502" t="s">
        <v>374</v>
      </c>
      <c r="C23" s="1502"/>
      <c r="D23" s="1502"/>
      <c r="E23" s="1502"/>
      <c r="F23" s="1502"/>
      <c r="G23" s="1502"/>
      <c r="H23" s="291"/>
      <c r="I23" s="309"/>
      <c r="J23" s="293"/>
      <c r="K23" s="15"/>
    </row>
    <row r="24" spans="1:15" ht="35.85" customHeight="1" x14ac:dyDescent="0.2">
      <c r="A24" s="303" t="s">
        <v>375</v>
      </c>
      <c r="B24" s="1503" t="s">
        <v>376</v>
      </c>
      <c r="C24" s="1504"/>
      <c r="D24" s="1504"/>
      <c r="E24" s="1504"/>
      <c r="F24" s="1504"/>
      <c r="G24" s="1504"/>
      <c r="H24" s="291"/>
      <c r="I24" s="245"/>
      <c r="J24" s="293">
        <v>249</v>
      </c>
      <c r="K24" s="15"/>
      <c r="L24" s="294" t="str">
        <f>IF(I24&gt;=0,"OK","ERROR")</f>
        <v>OK</v>
      </c>
    </row>
    <row r="25" spans="1:15" ht="35.85" customHeight="1" x14ac:dyDescent="0.2">
      <c r="A25" s="303" t="s">
        <v>377</v>
      </c>
      <c r="B25" s="1498" t="s">
        <v>378</v>
      </c>
      <c r="C25" s="1499"/>
      <c r="D25" s="1499"/>
      <c r="E25" s="1499"/>
      <c r="F25" s="1499"/>
      <c r="G25" s="1499"/>
      <c r="H25" s="291"/>
      <c r="I25" s="245"/>
      <c r="J25" s="293">
        <v>250</v>
      </c>
      <c r="K25" s="15"/>
      <c r="L25" s="294" t="str">
        <f>IF(I25&gt;=0,"OK","ERROR")</f>
        <v>OK</v>
      </c>
    </row>
    <row r="26" spans="1:15" ht="35.85" customHeight="1" x14ac:dyDescent="0.2">
      <c r="A26" s="303" t="s">
        <v>379</v>
      </c>
      <c r="B26" s="1498" t="s">
        <v>380</v>
      </c>
      <c r="C26" s="1499"/>
      <c r="D26" s="1499"/>
      <c r="E26" s="1499"/>
      <c r="F26" s="1499"/>
      <c r="G26" s="1499"/>
      <c r="H26" s="291"/>
      <c r="I26" s="245"/>
      <c r="J26" s="293">
        <v>251</v>
      </c>
      <c r="K26" s="15"/>
      <c r="L26" s="294" t="str">
        <f>IF(I26&gt;=0,"OK","ERROR")</f>
        <v>OK</v>
      </c>
    </row>
    <row r="27" spans="1:15" ht="20.100000000000001" customHeight="1" x14ac:dyDescent="0.2">
      <c r="A27" s="304" t="s">
        <v>381</v>
      </c>
      <c r="B27" s="1498" t="s">
        <v>382</v>
      </c>
      <c r="C27" s="1499"/>
      <c r="D27" s="1499"/>
      <c r="E27" s="1499"/>
      <c r="F27" s="1499"/>
      <c r="G27" s="1499"/>
      <c r="H27" s="291"/>
      <c r="I27" s="245"/>
      <c r="J27" s="293">
        <v>252</v>
      </c>
      <c r="K27" s="15"/>
      <c r="L27" s="294" t="str">
        <f>IF(I27&gt;=0,"OK","ERROR")</f>
        <v>OK</v>
      </c>
    </row>
    <row r="28" spans="1:15" ht="35.85" customHeight="1" x14ac:dyDescent="0.2">
      <c r="A28" s="303" t="s">
        <v>383</v>
      </c>
      <c r="B28" s="1498" t="s">
        <v>384</v>
      </c>
      <c r="C28" s="1499"/>
      <c r="D28" s="1499"/>
      <c r="E28" s="1499"/>
      <c r="F28" s="1499"/>
      <c r="G28" s="1499"/>
      <c r="H28" s="291"/>
      <c r="I28" s="245"/>
      <c r="J28" s="293">
        <v>253</v>
      </c>
      <c r="K28" s="15"/>
      <c r="L28" s="294" t="str">
        <f>IF(I28&gt;=0,"OK","ERROR")</f>
        <v>OK</v>
      </c>
    </row>
    <row r="29" spans="1:15" ht="35.85" customHeight="1" x14ac:dyDescent="0.2">
      <c r="A29" s="303" t="s">
        <v>385</v>
      </c>
      <c r="B29" s="1498" t="s">
        <v>386</v>
      </c>
      <c r="C29" s="1499"/>
      <c r="D29" s="1499"/>
      <c r="E29" s="1499"/>
      <c r="F29" s="1499"/>
      <c r="G29" s="1499"/>
      <c r="H29" s="291"/>
      <c r="I29" s="245"/>
      <c r="J29" s="293">
        <v>254</v>
      </c>
      <c r="K29" s="15"/>
      <c r="L29"/>
    </row>
    <row r="30" spans="1:15" ht="35.85" customHeight="1" x14ac:dyDescent="0.2">
      <c r="A30" s="303" t="s">
        <v>387</v>
      </c>
      <c r="B30" s="1498" t="s">
        <v>388</v>
      </c>
      <c r="C30" s="1499"/>
      <c r="D30" s="1499"/>
      <c r="E30" s="1499"/>
      <c r="F30" s="1499"/>
      <c r="G30" s="1499"/>
      <c r="H30" s="291"/>
      <c r="I30" s="245"/>
      <c r="J30" s="293">
        <v>255</v>
      </c>
      <c r="K30" s="15"/>
      <c r="L30" s="294" t="str">
        <f>IF(I30&gt;=0,"OK","ERROR")</f>
        <v>OK</v>
      </c>
    </row>
    <row r="31" spans="1:15" ht="35.85" customHeight="1" x14ac:dyDescent="0.2">
      <c r="A31" s="303" t="s">
        <v>389</v>
      </c>
      <c r="B31" s="1498" t="s">
        <v>390</v>
      </c>
      <c r="C31" s="1499"/>
      <c r="D31" s="1499"/>
      <c r="E31" s="1499"/>
      <c r="F31" s="1499"/>
      <c r="G31" s="1499"/>
      <c r="H31" s="291"/>
      <c r="I31" s="245"/>
      <c r="J31" s="293">
        <v>256</v>
      </c>
      <c r="K31" s="15"/>
      <c r="L31"/>
    </row>
    <row r="32" spans="1:15" ht="35.85" customHeight="1" x14ac:dyDescent="0.2">
      <c r="A32" s="303" t="s">
        <v>391</v>
      </c>
      <c r="B32" s="1498" t="s">
        <v>392</v>
      </c>
      <c r="C32" s="1499"/>
      <c r="D32" s="1499"/>
      <c r="E32" s="1499"/>
      <c r="F32" s="1499"/>
      <c r="G32" s="1499"/>
      <c r="H32" s="291"/>
      <c r="I32" s="245"/>
      <c r="J32" s="293">
        <v>257</v>
      </c>
      <c r="K32" s="15"/>
      <c r="L32"/>
    </row>
    <row r="33" spans="1:12" ht="35.85" customHeight="1" x14ac:dyDescent="0.2">
      <c r="A33" s="303" t="s">
        <v>393</v>
      </c>
      <c r="B33" s="1498" t="s">
        <v>394</v>
      </c>
      <c r="C33" s="1499"/>
      <c r="D33" s="1499"/>
      <c r="E33" s="1499"/>
      <c r="F33" s="1499"/>
      <c r="G33" s="1499"/>
      <c r="H33" s="291"/>
      <c r="I33" s="245"/>
      <c r="J33" s="293">
        <v>258</v>
      </c>
      <c r="K33" s="255"/>
      <c r="L33"/>
    </row>
    <row r="34" spans="1:12" ht="21.6" customHeight="1" x14ac:dyDescent="0.2">
      <c r="A34" s="308" t="s">
        <v>395</v>
      </c>
      <c r="B34" s="1507" t="s">
        <v>396</v>
      </c>
      <c r="C34" s="1508"/>
      <c r="D34" s="1508"/>
      <c r="E34" s="1508"/>
      <c r="F34" s="1508"/>
      <c r="G34" s="1508"/>
      <c r="H34" s="291"/>
      <c r="I34" s="309"/>
      <c r="J34" s="293"/>
      <c r="K34" s="255"/>
    </row>
    <row r="35" spans="1:12" ht="35.85" customHeight="1" x14ac:dyDescent="0.2">
      <c r="A35" s="303" t="s">
        <v>397</v>
      </c>
      <c r="B35" s="1503" t="s">
        <v>398</v>
      </c>
      <c r="C35" s="1504"/>
      <c r="D35" s="1504"/>
      <c r="E35" s="1504"/>
      <c r="F35" s="1504"/>
      <c r="G35" s="1504"/>
      <c r="H35" s="291"/>
      <c r="I35" s="245"/>
      <c r="J35" s="293">
        <v>259</v>
      </c>
      <c r="K35" s="255"/>
      <c r="L35" s="294" t="str">
        <f>IF(I35&gt;=0,"OK","ERROR")</f>
        <v>OK</v>
      </c>
    </row>
    <row r="36" spans="1:12" ht="35.85" customHeight="1" x14ac:dyDescent="0.2">
      <c r="A36" s="303" t="s">
        <v>399</v>
      </c>
      <c r="B36" s="1498" t="s">
        <v>400</v>
      </c>
      <c r="C36" s="1499"/>
      <c r="D36" s="1499"/>
      <c r="E36" s="1499"/>
      <c r="F36" s="1499"/>
      <c r="G36" s="1499"/>
      <c r="H36" s="291"/>
      <c r="I36" s="245"/>
      <c r="J36" s="293">
        <v>260</v>
      </c>
      <c r="K36" s="15"/>
      <c r="L36" s="294" t="str">
        <f>IF(I36&gt;=0,"OK","ERROR")</f>
        <v>OK</v>
      </c>
    </row>
    <row r="37" spans="1:12" ht="35.85" customHeight="1" x14ac:dyDescent="0.2">
      <c r="A37" s="303" t="s">
        <v>401</v>
      </c>
      <c r="B37" s="1498" t="s">
        <v>402</v>
      </c>
      <c r="C37" s="1499"/>
      <c r="D37" s="1499"/>
      <c r="E37" s="1499"/>
      <c r="F37" s="1499"/>
      <c r="G37" s="1499"/>
      <c r="H37" s="291"/>
      <c r="I37" s="245"/>
      <c r="J37" s="293">
        <v>261</v>
      </c>
      <c r="K37" s="310"/>
      <c r="L37" s="294" t="str">
        <f>IF(I37&gt;=0,"OK","ERROR")</f>
        <v>OK</v>
      </c>
    </row>
    <row r="38" spans="1:12" ht="35.85" customHeight="1" x14ac:dyDescent="0.2">
      <c r="A38" s="303" t="s">
        <v>403</v>
      </c>
      <c r="B38" s="1498" t="s">
        <v>404</v>
      </c>
      <c r="C38" s="1499"/>
      <c r="D38" s="1499"/>
      <c r="E38" s="1499"/>
      <c r="F38" s="1499"/>
      <c r="G38" s="1499"/>
      <c r="H38" s="291"/>
      <c r="I38" s="245"/>
      <c r="J38" s="293">
        <v>262</v>
      </c>
      <c r="K38" s="15"/>
      <c r="L38" s="294" t="str">
        <f>IF(I38&gt;=0,"OK","ERROR")</f>
        <v>OK</v>
      </c>
    </row>
    <row r="39" spans="1:12" ht="35.85" customHeight="1" x14ac:dyDescent="0.2">
      <c r="A39" s="303" t="s">
        <v>405</v>
      </c>
      <c r="B39" s="1498" t="s">
        <v>406</v>
      </c>
      <c r="C39" s="1499"/>
      <c r="D39" s="1499"/>
      <c r="E39" s="1499"/>
      <c r="F39" s="1499"/>
      <c r="G39" s="1499"/>
      <c r="H39" s="291"/>
      <c r="I39" s="245"/>
      <c r="J39" s="293">
        <v>263</v>
      </c>
      <c r="K39"/>
      <c r="L39" s="294" t="str">
        <f>IF(I39&lt;=0,"OK","ERROR")</f>
        <v>OK</v>
      </c>
    </row>
    <row r="40" spans="1:12" ht="35.85" customHeight="1" x14ac:dyDescent="0.2">
      <c r="A40" s="303" t="s">
        <v>407</v>
      </c>
      <c r="B40" s="1498" t="s">
        <v>408</v>
      </c>
      <c r="C40" s="1499"/>
      <c r="D40" s="1499"/>
      <c r="E40" s="1499"/>
      <c r="F40" s="1499"/>
      <c r="G40" s="1499"/>
      <c r="H40" s="291"/>
      <c r="I40" s="245"/>
      <c r="J40" s="293">
        <v>264</v>
      </c>
      <c r="K40"/>
      <c r="L40" s="294" t="str">
        <f>IF(I40&lt;=0,"OK","ERROR")</f>
        <v>OK</v>
      </c>
    </row>
    <row r="41" spans="1:12" ht="7.5" customHeight="1" x14ac:dyDescent="0.2">
      <c r="A41" s="311"/>
      <c r="B41" s="1505"/>
      <c r="C41" s="1505"/>
      <c r="D41" s="1505"/>
      <c r="E41" s="1505"/>
      <c r="F41" s="1505"/>
      <c r="G41" s="1505"/>
      <c r="H41" s="312"/>
      <c r="I41" s="313"/>
      <c r="J41" s="221"/>
      <c r="K41" s="267"/>
      <c r="L41" s="285"/>
    </row>
    <row r="42" spans="1:12" ht="7.5" customHeight="1" x14ac:dyDescent="0.2">
      <c r="A42" s="304"/>
      <c r="B42" s="1506"/>
      <c r="C42" s="1506"/>
      <c r="D42" s="1506"/>
      <c r="E42" s="1506"/>
      <c r="F42" s="1506"/>
      <c r="G42" s="1506"/>
      <c r="H42" s="291"/>
      <c r="I42" s="314"/>
      <c r="J42" s="293"/>
      <c r="K42" s="15"/>
      <c r="L42" s="285"/>
    </row>
    <row r="43" spans="1:12" ht="35.85" customHeight="1" x14ac:dyDescent="0.2">
      <c r="A43" s="315" t="s">
        <v>409</v>
      </c>
      <c r="B43" s="1509" t="s">
        <v>410</v>
      </c>
      <c r="C43" s="1510"/>
      <c r="D43" s="1510"/>
      <c r="E43" s="1510"/>
      <c r="F43" s="1510"/>
      <c r="G43" s="1510"/>
      <c r="H43" s="291"/>
      <c r="I43" s="316"/>
      <c r="J43" s="293"/>
      <c r="K43"/>
    </row>
    <row r="44" spans="1:12" ht="21.6" customHeight="1" x14ac:dyDescent="0.2">
      <c r="A44" s="304" t="s">
        <v>411</v>
      </c>
      <c r="B44" s="1503" t="s">
        <v>412</v>
      </c>
      <c r="C44" s="1504"/>
      <c r="D44" s="1504"/>
      <c r="E44" s="1504"/>
      <c r="F44" s="1504"/>
      <c r="G44" s="1504"/>
      <c r="H44" s="291"/>
      <c r="I44" s="245"/>
      <c r="J44" s="293">
        <v>265</v>
      </c>
      <c r="K44"/>
      <c r="L44" s="294" t="str">
        <f>IF(I44&lt;=0,"OK","ERROR")</f>
        <v>OK</v>
      </c>
    </row>
    <row r="45" spans="1:12" ht="21.6" customHeight="1" x14ac:dyDescent="0.2">
      <c r="A45" s="304" t="s">
        <v>413</v>
      </c>
      <c r="B45" s="1498" t="s">
        <v>414</v>
      </c>
      <c r="C45" s="1499"/>
      <c r="D45" s="1499"/>
      <c r="E45" s="1499"/>
      <c r="F45" s="1499"/>
      <c r="G45" s="1499"/>
      <c r="H45" s="291"/>
      <c r="I45" s="245"/>
      <c r="J45" s="293">
        <v>266</v>
      </c>
      <c r="K45"/>
      <c r="L45" s="294" t="str">
        <f>IF(I45&lt;=0,"OK","ERROR")</f>
        <v>OK</v>
      </c>
    </row>
    <row r="46" spans="1:12" ht="21.6" customHeight="1" x14ac:dyDescent="0.2">
      <c r="A46" s="304" t="s">
        <v>415</v>
      </c>
      <c r="B46" s="1498" t="s">
        <v>416</v>
      </c>
      <c r="C46" s="1499"/>
      <c r="D46" s="1499"/>
      <c r="E46" s="1499"/>
      <c r="F46" s="1499"/>
      <c r="G46" s="1499"/>
      <c r="H46" s="291"/>
      <c r="I46" s="245"/>
      <c r="J46" s="293">
        <v>267</v>
      </c>
      <c r="K46"/>
      <c r="L46" s="294" t="str">
        <f>IF(I46&lt;=0,"OK","ERROR")</f>
        <v>OK</v>
      </c>
    </row>
    <row r="47" spans="1:12" ht="21.6" customHeight="1" x14ac:dyDescent="0.2">
      <c r="A47" s="304" t="s">
        <v>417</v>
      </c>
      <c r="B47" s="1498" t="s">
        <v>418</v>
      </c>
      <c r="C47" s="1499"/>
      <c r="D47" s="1499"/>
      <c r="E47" s="1499"/>
      <c r="F47" s="1499"/>
      <c r="G47" s="1499"/>
      <c r="H47" s="291"/>
      <c r="I47" s="245"/>
      <c r="J47" s="293">
        <v>268</v>
      </c>
      <c r="K47"/>
      <c r="L47" s="294" t="str">
        <f>IF(I47&gt;=0,"OK","ERROR")</f>
        <v>OK</v>
      </c>
    </row>
    <row r="48" spans="1:12" ht="21.6" customHeight="1" x14ac:dyDescent="0.2">
      <c r="A48" s="304" t="s">
        <v>419</v>
      </c>
      <c r="B48" s="1498" t="s">
        <v>420</v>
      </c>
      <c r="C48" s="1498"/>
      <c r="D48" s="1498"/>
      <c r="E48" s="1498"/>
      <c r="F48" s="1498"/>
      <c r="G48" s="1498"/>
      <c r="H48" s="291"/>
      <c r="I48" s="245"/>
      <c r="J48" s="293">
        <v>270</v>
      </c>
      <c r="K48"/>
      <c r="L48" s="294" t="str">
        <f>IF(I48&lt;=0,"OK","ERROR")</f>
        <v>OK</v>
      </c>
    </row>
    <row r="49" spans="1:12" ht="21.6" customHeight="1" x14ac:dyDescent="0.2">
      <c r="A49" s="304" t="s">
        <v>421</v>
      </c>
      <c r="B49" s="1498" t="s">
        <v>422</v>
      </c>
      <c r="C49" s="1498"/>
      <c r="D49" s="1498"/>
      <c r="E49" s="1498"/>
      <c r="F49" s="1498"/>
      <c r="G49" s="1498"/>
      <c r="H49" s="291"/>
      <c r="I49" s="245"/>
      <c r="J49" s="293">
        <v>272</v>
      </c>
      <c r="K49"/>
      <c r="L49" s="294" t="str">
        <f>IF(I49&gt;=0,"OK","ERROR")</f>
        <v>OK</v>
      </c>
    </row>
    <row r="50" spans="1:12" ht="21.6" customHeight="1" x14ac:dyDescent="0.2">
      <c r="A50" s="304" t="s">
        <v>423</v>
      </c>
      <c r="B50" s="1498" t="s">
        <v>424</v>
      </c>
      <c r="C50" s="1498"/>
      <c r="D50" s="1498"/>
      <c r="E50" s="1498"/>
      <c r="F50" s="1498"/>
      <c r="G50" s="1498"/>
      <c r="H50" s="291"/>
      <c r="I50" s="245"/>
      <c r="J50" s="293">
        <v>274</v>
      </c>
      <c r="K50"/>
      <c r="L50" s="294" t="str">
        <f>IF(I50&lt;=0,"OK","ERROR")</f>
        <v>OK</v>
      </c>
    </row>
    <row r="51" spans="1:12" ht="21.6" customHeight="1" x14ac:dyDescent="0.2">
      <c r="A51" s="304" t="s">
        <v>425</v>
      </c>
      <c r="B51" s="1498" t="s">
        <v>426</v>
      </c>
      <c r="C51" s="1499"/>
      <c r="D51" s="1499"/>
      <c r="E51" s="1499"/>
      <c r="F51" s="1499"/>
      <c r="G51" s="1499"/>
      <c r="H51" s="291"/>
      <c r="I51" s="245"/>
      <c r="J51" s="293">
        <v>276</v>
      </c>
      <c r="K51"/>
      <c r="L51" s="294" t="str">
        <f>IF(I51&lt;=0,"OK","ERROR")</f>
        <v>OK</v>
      </c>
    </row>
    <row r="52" spans="1:12" ht="21.6" customHeight="1" x14ac:dyDescent="0.2">
      <c r="A52" s="304" t="s">
        <v>427</v>
      </c>
      <c r="B52" s="1498" t="s">
        <v>428</v>
      </c>
      <c r="C52" s="1499"/>
      <c r="D52" s="1499"/>
      <c r="E52" s="1499"/>
      <c r="F52" s="1499"/>
      <c r="G52" s="1499"/>
      <c r="H52" s="291"/>
      <c r="I52" s="245"/>
      <c r="J52" s="293">
        <v>277</v>
      </c>
      <c r="K52"/>
      <c r="L52" s="294" t="str">
        <f>IF(I52&lt;=0,"OK","ERROR")</f>
        <v>OK</v>
      </c>
    </row>
    <row r="53" spans="1:12" ht="21.6" customHeight="1" x14ac:dyDescent="0.2">
      <c r="A53" s="304" t="s">
        <v>429</v>
      </c>
      <c r="B53" s="1498" t="s">
        <v>430</v>
      </c>
      <c r="C53" s="1499"/>
      <c r="D53" s="1499"/>
      <c r="E53" s="1499"/>
      <c r="F53" s="1499"/>
      <c r="G53" s="1499"/>
      <c r="H53" s="291"/>
      <c r="I53" s="245"/>
      <c r="J53" s="293">
        <v>278</v>
      </c>
      <c r="K53"/>
      <c r="L53" s="294" t="str">
        <f>IF(I53&lt;=0,"OK","ERROR")</f>
        <v>OK</v>
      </c>
    </row>
    <row r="54" spans="1:12" ht="21.6" customHeight="1" x14ac:dyDescent="0.2">
      <c r="A54" s="304" t="s">
        <v>431</v>
      </c>
      <c r="B54" s="1498" t="s">
        <v>432</v>
      </c>
      <c r="C54" s="1499"/>
      <c r="D54" s="1499"/>
      <c r="E54" s="1499"/>
      <c r="F54" s="1499"/>
      <c r="G54" s="1499"/>
      <c r="H54" s="291"/>
      <c r="I54" s="245"/>
      <c r="J54" s="293">
        <v>279</v>
      </c>
      <c r="K54"/>
      <c r="L54" s="294" t="str">
        <f>IF(I54&gt;=0,"OK","ERROR")</f>
        <v>OK</v>
      </c>
    </row>
    <row r="55" spans="1:12" ht="21.6" customHeight="1" x14ac:dyDescent="0.2">
      <c r="A55" s="304" t="s">
        <v>433</v>
      </c>
      <c r="B55" s="1498" t="s">
        <v>434</v>
      </c>
      <c r="C55" s="1498"/>
      <c r="D55" s="1498"/>
      <c r="E55" s="1498"/>
      <c r="F55" s="1498"/>
      <c r="G55" s="1498"/>
      <c r="H55" s="291"/>
      <c r="I55" s="245"/>
      <c r="J55" s="293">
        <v>281</v>
      </c>
      <c r="K55"/>
      <c r="L55" s="294" t="str">
        <f>IF(I55&lt;=0,"OK","ERROR")</f>
        <v>OK</v>
      </c>
    </row>
    <row r="56" spans="1:12" ht="21.6" customHeight="1" x14ac:dyDescent="0.2">
      <c r="A56" s="304" t="s">
        <v>435</v>
      </c>
      <c r="B56" s="1511" t="s">
        <v>436</v>
      </c>
      <c r="C56" s="1511"/>
      <c r="D56" s="1511"/>
      <c r="E56" s="1511"/>
      <c r="F56" s="1511"/>
      <c r="G56" s="1511"/>
      <c r="H56" s="291"/>
      <c r="I56" s="245"/>
      <c r="J56" s="293">
        <v>606</v>
      </c>
      <c r="K56" s="157"/>
      <c r="L56" s="294" t="str">
        <f>IF(I56&gt;=0,"OK","ERROR")</f>
        <v>OK</v>
      </c>
    </row>
    <row r="57" spans="1:12" ht="21.6" customHeight="1" thickBot="1" x14ac:dyDescent="0.25">
      <c r="A57" s="308" t="s">
        <v>437</v>
      </c>
      <c r="B57" s="1500" t="s">
        <v>438</v>
      </c>
      <c r="C57" s="1501"/>
      <c r="D57" s="1501"/>
      <c r="E57" s="1501"/>
      <c r="F57" s="1501"/>
      <c r="G57" s="1501"/>
      <c r="H57" s="291"/>
      <c r="I57" s="292">
        <f>SUM(I22,I35:I56)</f>
        <v>0</v>
      </c>
      <c r="J57" s="293">
        <v>284</v>
      </c>
      <c r="K57"/>
      <c r="L57" s="294" t="str">
        <f>IF(I57&gt;=0,"OK","ERROR")</f>
        <v>OK</v>
      </c>
    </row>
    <row r="58" spans="1:12" ht="21.6" customHeight="1" thickTop="1" x14ac:dyDescent="0.2">
      <c r="A58" s="308"/>
      <c r="B58" s="1512" t="s">
        <v>374</v>
      </c>
      <c r="C58" s="1512"/>
      <c r="D58" s="1512"/>
      <c r="E58" s="1512"/>
      <c r="F58" s="1512"/>
      <c r="G58" s="1512"/>
      <c r="H58" s="291"/>
      <c r="I58" s="317"/>
      <c r="J58" s="293"/>
      <c r="K58"/>
    </row>
    <row r="59" spans="1:12" ht="35.85" customHeight="1" x14ac:dyDescent="0.2">
      <c r="A59" s="303" t="s">
        <v>439</v>
      </c>
      <c r="B59" s="1503" t="s">
        <v>440</v>
      </c>
      <c r="C59" s="1504"/>
      <c r="D59" s="1504"/>
      <c r="E59" s="1504"/>
      <c r="F59" s="1504"/>
      <c r="G59" s="1504"/>
      <c r="H59" s="291"/>
      <c r="I59" s="245"/>
      <c r="J59" s="293">
        <v>285</v>
      </c>
      <c r="K59"/>
      <c r="L59" s="294" t="str">
        <f>IF(AND(I59&gt;=0,I59&lt;=I57),"OK","ERROR")</f>
        <v>OK</v>
      </c>
    </row>
    <row r="60" spans="1:12" ht="35.85" customHeight="1" x14ac:dyDescent="0.2">
      <c r="A60" s="315" t="s">
        <v>441</v>
      </c>
      <c r="B60" s="1507" t="s">
        <v>442</v>
      </c>
      <c r="C60" s="1508"/>
      <c r="D60" s="1508"/>
      <c r="E60" s="1508"/>
      <c r="F60" s="1508"/>
      <c r="G60" s="1508"/>
      <c r="H60" s="291"/>
      <c r="I60" s="316"/>
      <c r="J60" s="293"/>
      <c r="K60"/>
    </row>
    <row r="61" spans="1:12" ht="35.85" customHeight="1" x14ac:dyDescent="0.2">
      <c r="A61" s="303" t="s">
        <v>443</v>
      </c>
      <c r="B61" s="1503" t="s">
        <v>444</v>
      </c>
      <c r="C61" s="1504"/>
      <c r="D61" s="1504"/>
      <c r="E61" s="1504"/>
      <c r="F61" s="1504"/>
      <c r="G61" s="1504"/>
      <c r="H61" s="291"/>
      <c r="I61" s="318"/>
      <c r="J61" s="319">
        <v>286</v>
      </c>
      <c r="K61"/>
      <c r="L61" s="294" t="str">
        <f>IF(I61&lt;=0,"OK","ERROR")</f>
        <v>OK</v>
      </c>
    </row>
    <row r="62" spans="1:12" ht="35.85" customHeight="1" x14ac:dyDescent="0.2">
      <c r="A62" s="303" t="s">
        <v>445</v>
      </c>
      <c r="B62" s="1498" t="s">
        <v>446</v>
      </c>
      <c r="C62" s="1499"/>
      <c r="D62" s="1499"/>
      <c r="E62" s="1499"/>
      <c r="F62" s="1499"/>
      <c r="G62" s="1499"/>
      <c r="H62" s="291"/>
      <c r="I62" s="245"/>
      <c r="J62" s="293">
        <v>288</v>
      </c>
      <c r="K62"/>
      <c r="L62" s="294" t="str">
        <f>IF(I62&lt;=0,"OK","ERROR")</f>
        <v>OK</v>
      </c>
    </row>
    <row r="63" spans="1:12" ht="21.6" customHeight="1" x14ac:dyDescent="0.2">
      <c r="A63" s="304" t="s">
        <v>447</v>
      </c>
      <c r="B63" s="1503" t="s">
        <v>448</v>
      </c>
      <c r="C63" s="1504"/>
      <c r="D63" s="1504"/>
      <c r="E63" s="1504"/>
      <c r="F63" s="1504"/>
      <c r="G63" s="1504"/>
      <c r="H63" s="291"/>
      <c r="I63" s="245"/>
      <c r="J63" s="293">
        <v>289</v>
      </c>
      <c r="K63"/>
      <c r="L63" s="294" t="str">
        <f>IF(I63&gt;=0,"OK","ERROR")</f>
        <v>OK</v>
      </c>
    </row>
    <row r="64" spans="1:12" ht="35.85" customHeight="1" x14ac:dyDescent="0.2">
      <c r="A64" s="303" t="s">
        <v>1661</v>
      </c>
      <c r="B64" s="1498" t="s">
        <v>449</v>
      </c>
      <c r="C64" s="1499"/>
      <c r="D64" s="1499"/>
      <c r="E64" s="1499"/>
      <c r="F64" s="1499"/>
      <c r="G64" s="1499"/>
      <c r="H64" s="291"/>
      <c r="I64" s="245"/>
      <c r="J64" s="293">
        <v>292</v>
      </c>
      <c r="K64"/>
      <c r="L64" s="294" t="str">
        <f>IF(I64&lt;=0,"OK","ERROR")</f>
        <v>OK</v>
      </c>
    </row>
    <row r="65" spans="1:12" ht="21.6" customHeight="1" x14ac:dyDescent="0.2">
      <c r="A65" s="304" t="s">
        <v>450</v>
      </c>
      <c r="B65" s="1498" t="s">
        <v>451</v>
      </c>
      <c r="C65" s="1499"/>
      <c r="D65" s="1499"/>
      <c r="E65" s="1499"/>
      <c r="F65" s="1499"/>
      <c r="G65" s="1499"/>
      <c r="H65" s="291"/>
      <c r="I65" s="245"/>
      <c r="J65" s="293">
        <v>293</v>
      </c>
      <c r="K65"/>
      <c r="L65" s="294" t="str">
        <f>IF(I65&gt;=0,"OK","ERROR")</f>
        <v>OK</v>
      </c>
    </row>
    <row r="66" spans="1:12" ht="35.85" customHeight="1" x14ac:dyDescent="0.2">
      <c r="A66" s="303" t="s">
        <v>452</v>
      </c>
      <c r="B66" s="1498" t="s">
        <v>453</v>
      </c>
      <c r="C66" s="1499"/>
      <c r="D66" s="1499"/>
      <c r="E66" s="1499"/>
      <c r="F66" s="1499"/>
      <c r="G66" s="1499"/>
      <c r="H66" s="291"/>
      <c r="I66" s="245"/>
      <c r="J66" s="293">
        <v>296</v>
      </c>
      <c r="K66"/>
      <c r="L66" s="294" t="str">
        <f>IF(I66&lt;=0,"OK","ERROR")</f>
        <v>OK</v>
      </c>
    </row>
    <row r="67" spans="1:12" ht="35.85" customHeight="1" x14ac:dyDescent="0.2">
      <c r="A67" s="303" t="s">
        <v>454</v>
      </c>
      <c r="B67" s="1498" t="s">
        <v>455</v>
      </c>
      <c r="C67" s="1499"/>
      <c r="D67" s="1499"/>
      <c r="E67" s="1499"/>
      <c r="F67" s="1499"/>
      <c r="G67" s="1499"/>
      <c r="H67" s="291"/>
      <c r="I67" s="245"/>
      <c r="J67" s="293">
        <v>298</v>
      </c>
      <c r="K67"/>
      <c r="L67" s="294" t="str">
        <f>IF(I67&lt;=0,"OK","ERROR")</f>
        <v>OK</v>
      </c>
    </row>
    <row r="68" spans="1:12" ht="35.85" customHeight="1" x14ac:dyDescent="0.2">
      <c r="A68" s="303" t="s">
        <v>456</v>
      </c>
      <c r="B68" s="1498" t="s">
        <v>457</v>
      </c>
      <c r="C68" s="1499"/>
      <c r="D68" s="1499"/>
      <c r="E68" s="1499"/>
      <c r="F68" s="1499"/>
      <c r="G68" s="1499"/>
      <c r="H68" s="291"/>
      <c r="I68" s="245"/>
      <c r="J68" s="293">
        <v>300</v>
      </c>
      <c r="K68"/>
      <c r="L68" s="294" t="str">
        <f>IF(I68&lt;=0,"OK","ERROR")</f>
        <v>OK</v>
      </c>
    </row>
    <row r="69" spans="1:12" ht="21.6" customHeight="1" x14ac:dyDescent="0.2">
      <c r="A69" s="304" t="s">
        <v>458</v>
      </c>
      <c r="B69" s="1498" t="s">
        <v>459</v>
      </c>
      <c r="C69" s="1499"/>
      <c r="D69" s="1499"/>
      <c r="E69" s="1499"/>
      <c r="F69" s="1499"/>
      <c r="G69" s="1499"/>
      <c r="H69" s="291"/>
      <c r="I69" s="245"/>
      <c r="J69" s="293">
        <v>301</v>
      </c>
      <c r="K69"/>
      <c r="L69" s="294" t="str">
        <f>IF(I69&gt;=0,"OK","ERROR")</f>
        <v>OK</v>
      </c>
    </row>
    <row r="70" spans="1:12" ht="21.6" customHeight="1" x14ac:dyDescent="0.2">
      <c r="A70" s="304" t="s">
        <v>460</v>
      </c>
      <c r="B70" s="1498" t="s">
        <v>461</v>
      </c>
      <c r="C70" s="1499"/>
      <c r="D70" s="1499"/>
      <c r="E70" s="1499"/>
      <c r="F70" s="1499"/>
      <c r="G70" s="1499"/>
      <c r="H70" s="291"/>
      <c r="I70" s="245"/>
      <c r="J70" s="293">
        <v>302</v>
      </c>
      <c r="K70"/>
      <c r="L70" s="294" t="str">
        <f>IF(I70&gt;=0,"OK","ERROR")</f>
        <v>OK</v>
      </c>
    </row>
    <row r="71" spans="1:12" ht="35.85" customHeight="1" x14ac:dyDescent="0.2">
      <c r="A71" s="303" t="s">
        <v>462</v>
      </c>
      <c r="B71" s="1498" t="s">
        <v>463</v>
      </c>
      <c r="C71" s="1499"/>
      <c r="D71" s="1499"/>
      <c r="E71" s="1499"/>
      <c r="F71" s="1499"/>
      <c r="G71" s="1499"/>
      <c r="H71" s="291"/>
      <c r="I71" s="245"/>
      <c r="J71" s="293">
        <v>305</v>
      </c>
      <c r="K71"/>
      <c r="L71" s="294" t="str">
        <f>IF(I71&lt;=0,"OK","ERROR")</f>
        <v>OK</v>
      </c>
    </row>
    <row r="72" spans="1:12" ht="21.6" customHeight="1" x14ac:dyDescent="0.2">
      <c r="A72" s="303" t="s">
        <v>464</v>
      </c>
      <c r="B72" s="1498" t="s">
        <v>465</v>
      </c>
      <c r="C72" s="1499"/>
      <c r="D72" s="1499"/>
      <c r="E72" s="1499"/>
      <c r="F72" s="1499"/>
      <c r="G72" s="1499"/>
      <c r="H72" s="291"/>
      <c r="I72" s="245"/>
      <c r="J72" s="293">
        <v>307</v>
      </c>
      <c r="K72"/>
      <c r="L72" s="294" t="str">
        <f>IF(I72&lt;=0,"OK","ERROR")</f>
        <v>OK</v>
      </c>
    </row>
    <row r="73" spans="1:12" ht="35.85" customHeight="1" x14ac:dyDescent="0.2">
      <c r="A73" s="303" t="s">
        <v>466</v>
      </c>
      <c r="B73" s="1498" t="s">
        <v>467</v>
      </c>
      <c r="C73" s="1499"/>
      <c r="D73" s="1499"/>
      <c r="E73" s="1499"/>
      <c r="F73" s="1499"/>
      <c r="G73" s="1499"/>
      <c r="H73" s="291"/>
      <c r="I73" s="245"/>
      <c r="J73" s="293">
        <v>309</v>
      </c>
      <c r="K73"/>
      <c r="L73" s="294" t="str">
        <f>IF(I73&lt;=0,"OK","ERROR")</f>
        <v>OK</v>
      </c>
    </row>
    <row r="74" spans="1:12" ht="21.6" customHeight="1" x14ac:dyDescent="0.2">
      <c r="A74" s="304" t="s">
        <v>468</v>
      </c>
      <c r="B74" s="1498" t="s">
        <v>469</v>
      </c>
      <c r="C74" s="1499"/>
      <c r="D74" s="1499"/>
      <c r="E74" s="1499"/>
      <c r="F74" s="1499"/>
      <c r="G74" s="1499"/>
      <c r="H74" s="291"/>
      <c r="I74" s="245"/>
      <c r="J74" s="293">
        <v>567</v>
      </c>
      <c r="K74"/>
      <c r="L74" s="2" t="str">
        <f>IF(I74&lt;=0,"OK","ERROR")</f>
        <v>OK</v>
      </c>
    </row>
    <row r="75" spans="1:12" ht="7.5" customHeight="1" x14ac:dyDescent="0.2">
      <c r="A75" s="311"/>
      <c r="B75" s="1505"/>
      <c r="C75" s="1505"/>
      <c r="D75" s="1505"/>
      <c r="E75" s="1505"/>
      <c r="F75" s="1505"/>
      <c r="G75" s="1505"/>
      <c r="H75" s="312"/>
      <c r="I75" s="313"/>
      <c r="J75" s="221"/>
      <c r="K75" s="267"/>
      <c r="L75" s="285"/>
    </row>
    <row r="76" spans="1:12" ht="7.5" customHeight="1" x14ac:dyDescent="0.2">
      <c r="A76" s="304"/>
      <c r="B76" s="1506"/>
      <c r="C76" s="1506"/>
      <c r="D76" s="1506"/>
      <c r="E76" s="1506"/>
      <c r="F76" s="1506"/>
      <c r="G76" s="1506"/>
      <c r="H76" s="291"/>
      <c r="I76" s="314"/>
      <c r="J76" s="293"/>
      <c r="K76" s="15"/>
      <c r="L76" s="285"/>
    </row>
    <row r="77" spans="1:12" ht="20.85" customHeight="1" thickBot="1" x14ac:dyDescent="0.25">
      <c r="A77" s="308" t="s">
        <v>470</v>
      </c>
      <c r="B77" s="1500" t="s">
        <v>471</v>
      </c>
      <c r="C77" s="1501"/>
      <c r="D77" s="1501"/>
      <c r="E77" s="1501"/>
      <c r="F77" s="1501"/>
      <c r="G77" s="1501"/>
      <c r="H77" s="291"/>
      <c r="I77" s="292">
        <f>I57+SUM(I61:I74)</f>
        <v>0</v>
      </c>
      <c r="J77" s="293">
        <v>311</v>
      </c>
      <c r="K77"/>
      <c r="L77" s="294" t="str">
        <f>IF(I77&gt;=0,"OK","ERROR")</f>
        <v>OK</v>
      </c>
    </row>
    <row r="78" spans="1:12" ht="35.85" customHeight="1" thickTop="1" x14ac:dyDescent="0.2">
      <c r="A78" s="303" t="s">
        <v>472</v>
      </c>
      <c r="B78" s="1498" t="s">
        <v>473</v>
      </c>
      <c r="C78" s="1499"/>
      <c r="D78" s="1499"/>
      <c r="E78" s="1499"/>
      <c r="F78" s="1499"/>
      <c r="G78" s="1499"/>
      <c r="H78" s="291"/>
      <c r="I78" s="245"/>
      <c r="J78" s="293">
        <v>312</v>
      </c>
      <c r="K78"/>
      <c r="L78" s="294" t="str">
        <f>IF(I78&lt;=0,"OK","ERROR")</f>
        <v>OK</v>
      </c>
    </row>
    <row r="79" spans="1:12" ht="35.85" customHeight="1" x14ac:dyDescent="0.2">
      <c r="A79" s="303" t="s">
        <v>474</v>
      </c>
      <c r="B79" s="1498" t="s">
        <v>475</v>
      </c>
      <c r="C79" s="1499"/>
      <c r="D79" s="1499"/>
      <c r="E79" s="1499"/>
      <c r="F79" s="1499"/>
      <c r="G79" s="1499"/>
      <c r="H79" s="291"/>
      <c r="I79" s="245"/>
      <c r="J79" s="293">
        <v>314</v>
      </c>
      <c r="K79"/>
      <c r="L79" s="294" t="str">
        <f>IF(I79&lt;=0,"OK","ERROR")</f>
        <v>OK</v>
      </c>
    </row>
    <row r="80" spans="1:12" ht="35.85" customHeight="1" thickBot="1" x14ac:dyDescent="0.25">
      <c r="A80" s="315" t="s">
        <v>476</v>
      </c>
      <c r="B80" s="1500" t="s">
        <v>477</v>
      </c>
      <c r="C80" s="1501"/>
      <c r="D80" s="1501"/>
      <c r="E80" s="1501"/>
      <c r="F80" s="1501"/>
      <c r="G80" s="1501"/>
      <c r="H80" s="291"/>
      <c r="I80" s="292">
        <f>SUM(I77:I79)</f>
        <v>0</v>
      </c>
      <c r="J80" s="293">
        <v>316</v>
      </c>
      <c r="K80"/>
      <c r="L80" s="294" t="str">
        <f>IF(I80&gt;=0,"OK","ERROR")</f>
        <v>OK</v>
      </c>
    </row>
    <row r="81" spans="1:12" ht="35.85" customHeight="1" thickTop="1" x14ac:dyDescent="0.2">
      <c r="A81" s="303" t="s">
        <v>478</v>
      </c>
      <c r="B81" s="1498" t="s">
        <v>479</v>
      </c>
      <c r="C81" s="1499"/>
      <c r="D81" s="1499"/>
      <c r="E81" s="1499"/>
      <c r="F81" s="1499"/>
      <c r="G81" s="1499"/>
      <c r="H81" s="291"/>
      <c r="I81" s="245"/>
      <c r="J81" s="293">
        <v>317</v>
      </c>
      <c r="K81"/>
      <c r="L81" s="294" t="str">
        <f>IF(I81&lt;=0,"OK","ERROR")</f>
        <v>OK</v>
      </c>
    </row>
    <row r="82" spans="1:12" ht="35.85" customHeight="1" x14ac:dyDescent="0.2">
      <c r="A82" s="303" t="s">
        <v>480</v>
      </c>
      <c r="B82" s="1498" t="s">
        <v>481</v>
      </c>
      <c r="C82" s="1499"/>
      <c r="D82" s="1499"/>
      <c r="E82" s="1499"/>
      <c r="F82" s="1499"/>
      <c r="G82" s="1499"/>
      <c r="H82" s="291"/>
      <c r="I82" s="245"/>
      <c r="J82" s="293">
        <v>319</v>
      </c>
      <c r="K82"/>
      <c r="L82" s="294" t="str">
        <f>IF(I82&lt;=0,"OK","ERROR")</f>
        <v>OK</v>
      </c>
    </row>
    <row r="83" spans="1:12" ht="35.85" customHeight="1" thickBot="1" x14ac:dyDescent="0.25">
      <c r="A83" s="315" t="s">
        <v>482</v>
      </c>
      <c r="B83" s="1500" t="s">
        <v>483</v>
      </c>
      <c r="C83" s="1501"/>
      <c r="D83" s="1501"/>
      <c r="E83" s="1501"/>
      <c r="F83" s="1501"/>
      <c r="G83" s="1501"/>
      <c r="H83" s="291"/>
      <c r="I83" s="292">
        <f>SUM(I80:I82)</f>
        <v>0</v>
      </c>
      <c r="J83" s="293">
        <v>321</v>
      </c>
      <c r="K83"/>
      <c r="L83" s="294" t="str">
        <f>IF(I83&gt;=0,"OK","ERROR")</f>
        <v>OK</v>
      </c>
    </row>
    <row r="84" spans="1:12" ht="35.85" customHeight="1" thickTop="1" x14ac:dyDescent="0.2">
      <c r="A84" s="303" t="s">
        <v>484</v>
      </c>
      <c r="B84" s="1498" t="s">
        <v>485</v>
      </c>
      <c r="C84" s="1499"/>
      <c r="D84" s="1499"/>
      <c r="E84" s="1499"/>
      <c r="F84" s="1499"/>
      <c r="G84" s="1499"/>
      <c r="H84" s="291"/>
      <c r="I84" s="245"/>
      <c r="J84" s="293">
        <v>322</v>
      </c>
      <c r="K84"/>
      <c r="L84" s="294" t="str">
        <f>IF(I84&lt;=0,"OK","ERROR")</f>
        <v>OK</v>
      </c>
    </row>
    <row r="85" spans="1:12" ht="35.85" customHeight="1" x14ac:dyDescent="0.2">
      <c r="A85" s="303" t="s">
        <v>486</v>
      </c>
      <c r="B85" s="1498" t="s">
        <v>487</v>
      </c>
      <c r="C85" s="1499"/>
      <c r="D85" s="1499"/>
      <c r="E85" s="1499"/>
      <c r="F85" s="1499"/>
      <c r="G85" s="1499"/>
      <c r="H85" s="291"/>
      <c r="I85" s="245"/>
      <c r="J85" s="293">
        <v>324</v>
      </c>
      <c r="K85"/>
      <c r="L85" s="294" t="str">
        <f>IF(I85&lt;=0,"OK","ERROR")</f>
        <v>OK</v>
      </c>
    </row>
    <row r="86" spans="1:12" ht="35.85" customHeight="1" x14ac:dyDescent="0.2">
      <c r="A86" s="303" t="s">
        <v>488</v>
      </c>
      <c r="B86" s="1498" t="s">
        <v>489</v>
      </c>
      <c r="C86" s="1499"/>
      <c r="D86" s="1499"/>
      <c r="E86" s="1499"/>
      <c r="F86" s="1499"/>
      <c r="G86" s="1499"/>
      <c r="H86" s="291"/>
      <c r="I86" s="245"/>
      <c r="J86" s="293">
        <v>326</v>
      </c>
      <c r="K86"/>
      <c r="L86" s="294" t="str">
        <f>IF(I86&lt;=0,"OK","ERROR")</f>
        <v>OK</v>
      </c>
    </row>
    <row r="87" spans="1:12" ht="20.85" customHeight="1" thickBot="1" x14ac:dyDescent="0.25">
      <c r="A87" s="308" t="s">
        <v>490</v>
      </c>
      <c r="B87" s="1500" t="s">
        <v>491</v>
      </c>
      <c r="C87" s="1501"/>
      <c r="D87" s="1501"/>
      <c r="E87" s="1501"/>
      <c r="F87" s="1501"/>
      <c r="G87" s="1501"/>
      <c r="H87" s="291"/>
      <c r="I87" s="292">
        <f>SUM(I83:I86)</f>
        <v>0</v>
      </c>
      <c r="J87" s="293">
        <v>328</v>
      </c>
      <c r="K87"/>
      <c r="L87" s="294" t="str">
        <f>IF(I87&gt;=0,"OK","ERROR")</f>
        <v>OK</v>
      </c>
    </row>
    <row r="88" spans="1:12" ht="35.85" customHeight="1" thickTop="1" x14ac:dyDescent="0.2">
      <c r="A88" s="303" t="s">
        <v>492</v>
      </c>
      <c r="B88" s="1498" t="s">
        <v>493</v>
      </c>
      <c r="C88" s="1499"/>
      <c r="D88" s="1499"/>
      <c r="E88" s="1499"/>
      <c r="F88" s="1499"/>
      <c r="G88" s="1499"/>
      <c r="H88" s="291"/>
      <c r="I88" s="245"/>
      <c r="J88" s="293">
        <v>329</v>
      </c>
      <c r="K88"/>
      <c r="L88" s="294" t="str">
        <f>IF(I88&lt;=0,"OK","ERROR")</f>
        <v>OK</v>
      </c>
    </row>
    <row r="89" spans="1:12" ht="35.85" customHeight="1" x14ac:dyDescent="0.2">
      <c r="A89" s="303" t="s">
        <v>494</v>
      </c>
      <c r="B89" s="1498" t="s">
        <v>495</v>
      </c>
      <c r="C89" s="1499"/>
      <c r="D89" s="1499"/>
      <c r="E89" s="1499"/>
      <c r="F89" s="1499"/>
      <c r="G89" s="1499"/>
      <c r="H89" s="291"/>
      <c r="I89" s="245"/>
      <c r="J89" s="293">
        <v>330</v>
      </c>
      <c r="K89"/>
      <c r="L89" s="294" t="str">
        <f>IF(I89&lt;=0,"OK","ERROR")</f>
        <v>OK</v>
      </c>
    </row>
    <row r="90" spans="1:12" ht="35.85" customHeight="1" x14ac:dyDescent="0.2">
      <c r="A90" s="303" t="s">
        <v>496</v>
      </c>
      <c r="B90" s="1498" t="s">
        <v>497</v>
      </c>
      <c r="C90" s="1499"/>
      <c r="D90" s="1499"/>
      <c r="E90" s="1499"/>
      <c r="F90" s="1499"/>
      <c r="G90" s="1499"/>
      <c r="H90" s="291"/>
      <c r="I90" s="245"/>
      <c r="J90" s="293">
        <v>331</v>
      </c>
      <c r="K90"/>
      <c r="L90" s="294" t="str">
        <f>IF(I90&lt;=0,"OK","ERROR")</f>
        <v>OK</v>
      </c>
    </row>
    <row r="91" spans="1:12" ht="21.6" customHeight="1" x14ac:dyDescent="0.2">
      <c r="A91" s="308" t="s">
        <v>498</v>
      </c>
      <c r="B91" s="1509" t="s">
        <v>499</v>
      </c>
      <c r="C91" s="1510"/>
      <c r="D91" s="1510"/>
      <c r="E91" s="1510"/>
      <c r="F91" s="1510"/>
      <c r="G91" s="1510"/>
      <c r="H91" s="291"/>
      <c r="I91" s="316"/>
      <c r="J91" s="293"/>
      <c r="K91"/>
    </row>
    <row r="92" spans="1:12" ht="33.75" customHeight="1" thickBot="1" x14ac:dyDescent="0.25">
      <c r="A92" s="320" t="s">
        <v>500</v>
      </c>
      <c r="B92" s="1513" t="s">
        <v>501</v>
      </c>
      <c r="C92" s="1514"/>
      <c r="D92" s="1514"/>
      <c r="E92" s="1514"/>
      <c r="F92" s="1514"/>
      <c r="G92" s="1514"/>
      <c r="H92" s="291"/>
      <c r="I92" s="292">
        <f>-1*I119</f>
        <v>0</v>
      </c>
      <c r="J92" s="293">
        <v>336</v>
      </c>
      <c r="K92"/>
      <c r="L92" s="294" t="str">
        <f>IF(I92&lt;=0,"OK","ERROR")</f>
        <v>OK</v>
      </c>
    </row>
    <row r="93" spans="1:12" ht="35.1" customHeight="1" thickTop="1" x14ac:dyDescent="0.2">
      <c r="A93" s="320" t="s">
        <v>502</v>
      </c>
      <c r="B93" s="1515" t="s">
        <v>503</v>
      </c>
      <c r="C93" s="1516"/>
      <c r="D93" s="1516"/>
      <c r="E93" s="1516"/>
      <c r="F93" s="1516"/>
      <c r="G93" s="1516"/>
      <c r="H93" s="291"/>
      <c r="I93" s="245"/>
      <c r="J93" s="293">
        <v>337</v>
      </c>
      <c r="K93"/>
      <c r="L93" s="294" t="str">
        <f>IF(I93&lt;=0,"OK","ERROR")</f>
        <v>OK</v>
      </c>
    </row>
    <row r="94" spans="1:12" ht="21.6" customHeight="1" thickBot="1" x14ac:dyDescent="0.25">
      <c r="A94" s="308" t="s">
        <v>504</v>
      </c>
      <c r="B94" s="1500" t="s">
        <v>505</v>
      </c>
      <c r="C94" s="1501"/>
      <c r="D94" s="1501"/>
      <c r="E94" s="1501"/>
      <c r="F94" s="1501"/>
      <c r="G94" s="1501"/>
      <c r="H94" s="291"/>
      <c r="I94" s="292">
        <f>I87+I88+I89+I90+I92+I93</f>
        <v>0</v>
      </c>
      <c r="J94" s="293">
        <v>338</v>
      </c>
      <c r="K94"/>
      <c r="L94" s="294" t="str">
        <f>IF(I94&gt;0,"OK","ERROR")</f>
        <v>ERROR</v>
      </c>
    </row>
    <row r="95" spans="1:12" ht="7.5" customHeight="1" thickTop="1" x14ac:dyDescent="0.2">
      <c r="A95" s="311"/>
      <c r="B95" s="1505"/>
      <c r="C95" s="1505"/>
      <c r="D95" s="1505"/>
      <c r="E95" s="1505"/>
      <c r="F95" s="1505"/>
      <c r="G95" s="1505"/>
      <c r="H95" s="312"/>
      <c r="I95" s="313"/>
      <c r="J95" s="221"/>
      <c r="K95" s="267"/>
      <c r="L95" s="285"/>
    </row>
    <row r="96" spans="1:12" ht="7.5" customHeight="1" x14ac:dyDescent="0.2">
      <c r="A96" s="304"/>
      <c r="B96" s="1506"/>
      <c r="C96" s="1506"/>
      <c r="D96" s="1506"/>
      <c r="E96" s="1506"/>
      <c r="F96" s="1506"/>
      <c r="G96" s="1506"/>
      <c r="H96" s="291"/>
      <c r="I96" s="314"/>
      <c r="J96" s="293"/>
      <c r="K96" s="15"/>
      <c r="L96" s="285"/>
    </row>
    <row r="97" spans="1:13" ht="35.85" customHeight="1" thickBot="1" x14ac:dyDescent="0.25">
      <c r="A97" s="321" t="s">
        <v>506</v>
      </c>
      <c r="B97" s="1500" t="s">
        <v>507</v>
      </c>
      <c r="C97" s="1500"/>
      <c r="D97" s="1500"/>
      <c r="E97" s="1500"/>
      <c r="F97" s="1500"/>
      <c r="G97" s="1500"/>
      <c r="H97" s="291"/>
      <c r="I97" s="292">
        <f>I120</f>
        <v>0</v>
      </c>
      <c r="J97" s="293">
        <v>339</v>
      </c>
      <c r="K97"/>
      <c r="L97" s="294" t="str">
        <f t="shared" ref="L97:L107" si="0">IF(I97&gt;=0,"OK","ERROR")</f>
        <v>OK</v>
      </c>
    </row>
    <row r="98" spans="1:13" ht="21.6" customHeight="1" thickTop="1" x14ac:dyDescent="0.2">
      <c r="A98" s="304" t="s">
        <v>508</v>
      </c>
      <c r="B98" s="1498" t="s">
        <v>509</v>
      </c>
      <c r="C98" s="1499"/>
      <c r="D98" s="1499"/>
      <c r="E98" s="1499"/>
      <c r="F98" s="1499"/>
      <c r="G98" s="1499"/>
      <c r="H98" s="291"/>
      <c r="I98" s="245"/>
      <c r="J98" s="293">
        <v>340</v>
      </c>
      <c r="K98"/>
      <c r="L98" s="294" t="str">
        <f t="shared" si="0"/>
        <v>OK</v>
      </c>
    </row>
    <row r="99" spans="1:13" ht="21.6" customHeight="1" x14ac:dyDescent="0.2">
      <c r="A99" s="304" t="s">
        <v>510</v>
      </c>
      <c r="B99" s="1498" t="s">
        <v>511</v>
      </c>
      <c r="C99" s="1499"/>
      <c r="D99" s="1499"/>
      <c r="E99" s="1499"/>
      <c r="F99" s="1499"/>
      <c r="G99" s="1499"/>
      <c r="H99" s="291"/>
      <c r="I99" s="245"/>
      <c r="J99" s="293">
        <v>341</v>
      </c>
      <c r="K99"/>
      <c r="L99" s="294" t="str">
        <f t="shared" si="0"/>
        <v>OK</v>
      </c>
    </row>
    <row r="100" spans="1:13" ht="35.85" customHeight="1" x14ac:dyDescent="0.2">
      <c r="A100" s="303" t="s">
        <v>512</v>
      </c>
      <c r="B100" s="1498" t="s">
        <v>513</v>
      </c>
      <c r="C100" s="1499"/>
      <c r="D100" s="1499"/>
      <c r="E100" s="1499"/>
      <c r="F100" s="1499"/>
      <c r="G100" s="1499"/>
      <c r="H100" s="291"/>
      <c r="I100" s="245"/>
      <c r="J100" s="293">
        <v>342</v>
      </c>
      <c r="K100"/>
      <c r="L100" s="294" t="str">
        <f t="shared" si="0"/>
        <v>OK</v>
      </c>
    </row>
    <row r="101" spans="1:13" ht="21.6" customHeight="1" x14ac:dyDescent="0.2">
      <c r="A101" s="304" t="s">
        <v>514</v>
      </c>
      <c r="B101" s="1498" t="s">
        <v>515</v>
      </c>
      <c r="C101" s="1499"/>
      <c r="D101" s="1499"/>
      <c r="E101" s="1499"/>
      <c r="F101" s="1499"/>
      <c r="G101" s="1499"/>
      <c r="H101" s="291"/>
      <c r="I101" s="245"/>
      <c r="J101" s="293">
        <v>343</v>
      </c>
      <c r="K101"/>
      <c r="L101" s="294" t="str">
        <f t="shared" si="0"/>
        <v>OK</v>
      </c>
    </row>
    <row r="102" spans="1:13" ht="21.6" customHeight="1" x14ac:dyDescent="0.2">
      <c r="A102" s="304" t="s">
        <v>516</v>
      </c>
      <c r="B102" s="1498" t="s">
        <v>517</v>
      </c>
      <c r="C102" s="1499"/>
      <c r="D102" s="1499"/>
      <c r="E102" s="1499"/>
      <c r="F102" s="1499"/>
      <c r="G102" s="1499"/>
      <c r="H102" s="291"/>
      <c r="I102" s="245"/>
      <c r="J102" s="293">
        <v>344</v>
      </c>
      <c r="K102"/>
      <c r="L102" s="294" t="str">
        <f t="shared" si="0"/>
        <v>OK</v>
      </c>
    </row>
    <row r="103" spans="1:13" s="502" customFormat="1" ht="35.85" customHeight="1" x14ac:dyDescent="0.2">
      <c r="A103" s="1325" t="s">
        <v>518</v>
      </c>
      <c r="B103" s="1494" t="s">
        <v>519</v>
      </c>
      <c r="C103" s="1517"/>
      <c r="D103" s="1517"/>
      <c r="E103" s="1517"/>
      <c r="F103" s="1517"/>
      <c r="G103" s="1517"/>
      <c r="H103" s="231"/>
      <c r="I103" s="164"/>
      <c r="J103" s="361">
        <v>345</v>
      </c>
      <c r="K103" s="462"/>
      <c r="L103" s="545" t="str">
        <f t="shared" si="0"/>
        <v>OK</v>
      </c>
      <c r="M103" s="462"/>
    </row>
    <row r="104" spans="1:13" s="502" customFormat="1" ht="21.6" customHeight="1" x14ac:dyDescent="0.2">
      <c r="A104" s="552" t="s">
        <v>520</v>
      </c>
      <c r="B104" s="1494" t="s">
        <v>521</v>
      </c>
      <c r="C104" s="1517"/>
      <c r="D104" s="1517"/>
      <c r="E104" s="1517"/>
      <c r="F104" s="1517"/>
      <c r="G104" s="1517"/>
      <c r="H104" s="231"/>
      <c r="I104" s="164"/>
      <c r="J104" s="361">
        <v>346</v>
      </c>
      <c r="K104" s="462"/>
      <c r="L104" s="545" t="str">
        <f t="shared" si="0"/>
        <v>OK</v>
      </c>
      <c r="M104" s="462"/>
    </row>
    <row r="105" spans="1:13" s="502" customFormat="1" ht="35.85" customHeight="1" x14ac:dyDescent="0.2">
      <c r="A105" s="1325" t="s">
        <v>522</v>
      </c>
      <c r="B105" s="1494" t="s">
        <v>523</v>
      </c>
      <c r="C105" s="1517"/>
      <c r="D105" s="1517"/>
      <c r="E105" s="1517"/>
      <c r="F105" s="1517"/>
      <c r="G105" s="1517"/>
      <c r="H105" s="231"/>
      <c r="I105" s="164"/>
      <c r="J105" s="361">
        <v>347</v>
      </c>
      <c r="K105" s="462"/>
      <c r="L105" s="545" t="str">
        <f t="shared" si="0"/>
        <v>OK</v>
      </c>
      <c r="M105" s="462"/>
    </row>
    <row r="106" spans="1:13" s="502" customFormat="1" ht="35.85" customHeight="1" x14ac:dyDescent="0.2">
      <c r="A106" s="1325" t="s">
        <v>524</v>
      </c>
      <c r="B106" s="1494" t="s">
        <v>525</v>
      </c>
      <c r="C106" s="1517"/>
      <c r="D106" s="1517"/>
      <c r="E106" s="1517"/>
      <c r="F106" s="1517"/>
      <c r="G106" s="1517"/>
      <c r="H106" s="231"/>
      <c r="I106" s="164"/>
      <c r="J106" s="361">
        <v>348</v>
      </c>
      <c r="K106" s="462"/>
      <c r="L106" s="545" t="str">
        <f t="shared" si="0"/>
        <v>OK</v>
      </c>
      <c r="M106" s="462"/>
    </row>
    <row r="107" spans="1:13" ht="21.6" customHeight="1" thickBot="1" x14ac:dyDescent="0.25">
      <c r="A107" s="308" t="s">
        <v>526</v>
      </c>
      <c r="B107" s="1500" t="s">
        <v>527</v>
      </c>
      <c r="C107" s="1501"/>
      <c r="D107" s="1501"/>
      <c r="E107" s="1501"/>
      <c r="F107" s="1501"/>
      <c r="G107" s="1501"/>
      <c r="H107" s="291"/>
      <c r="I107" s="292">
        <f>SUM(I98:I106)</f>
        <v>0</v>
      </c>
      <c r="J107" s="293">
        <v>349</v>
      </c>
      <c r="K107"/>
      <c r="L107" s="294" t="str">
        <f t="shared" si="0"/>
        <v>OK</v>
      </c>
    </row>
    <row r="108" spans="1:13" ht="37.5" customHeight="1" thickTop="1" x14ac:dyDescent="0.2">
      <c r="A108" s="321" t="s">
        <v>528</v>
      </c>
      <c r="B108" s="1507" t="s">
        <v>529</v>
      </c>
      <c r="C108" s="1507"/>
      <c r="D108" s="1507"/>
      <c r="E108" s="1507"/>
      <c r="F108" s="1507"/>
      <c r="G108" s="1507"/>
      <c r="H108" s="291"/>
      <c r="I108" s="316"/>
      <c r="J108" s="293"/>
      <c r="K108"/>
    </row>
    <row r="109" spans="1:13" ht="35.85" customHeight="1" x14ac:dyDescent="0.2">
      <c r="A109" s="303" t="s">
        <v>530</v>
      </c>
      <c r="B109" s="1503" t="s">
        <v>531</v>
      </c>
      <c r="C109" s="1504"/>
      <c r="D109" s="1504"/>
      <c r="E109" s="1504"/>
      <c r="F109" s="1504"/>
      <c r="G109" s="1504"/>
      <c r="H109" s="291"/>
      <c r="I109" s="245"/>
      <c r="J109" s="293">
        <v>350</v>
      </c>
      <c r="K109"/>
      <c r="L109" s="294" t="str">
        <f t="shared" ref="L109:L115" si="1">IF(I109&lt;=0,"OK","ERROR")</f>
        <v>OK</v>
      </c>
    </row>
    <row r="110" spans="1:13" ht="35.85" customHeight="1" x14ac:dyDescent="0.2">
      <c r="A110" s="303" t="s">
        <v>532</v>
      </c>
      <c r="B110" s="1498" t="s">
        <v>533</v>
      </c>
      <c r="C110" s="1499"/>
      <c r="D110" s="1499"/>
      <c r="E110" s="1499"/>
      <c r="F110" s="1499"/>
      <c r="G110" s="1499"/>
      <c r="H110" s="291"/>
      <c r="I110" s="245"/>
      <c r="J110" s="293">
        <v>351</v>
      </c>
      <c r="K110"/>
      <c r="L110" s="294" t="str">
        <f t="shared" si="1"/>
        <v>OK</v>
      </c>
    </row>
    <row r="111" spans="1:13" ht="35.85" customHeight="1" x14ac:dyDescent="0.2">
      <c r="A111" s="303" t="s">
        <v>534</v>
      </c>
      <c r="B111" s="1498" t="s">
        <v>535</v>
      </c>
      <c r="C111" s="1499"/>
      <c r="D111" s="1499"/>
      <c r="E111" s="1499"/>
      <c r="F111" s="1499"/>
      <c r="G111" s="1499"/>
      <c r="H111" s="291"/>
      <c r="I111" s="245"/>
      <c r="J111" s="293">
        <v>352</v>
      </c>
      <c r="K111"/>
      <c r="L111" s="294" t="str">
        <f t="shared" si="1"/>
        <v>OK</v>
      </c>
    </row>
    <row r="112" spans="1:13" ht="35.85" customHeight="1" x14ac:dyDescent="0.2">
      <c r="A112" s="303" t="s">
        <v>536</v>
      </c>
      <c r="B112" s="1498" t="s">
        <v>537</v>
      </c>
      <c r="C112" s="1499"/>
      <c r="D112" s="1499"/>
      <c r="E112" s="1499"/>
      <c r="F112" s="1499"/>
      <c r="G112" s="1499"/>
      <c r="H112" s="291"/>
      <c r="I112" s="245"/>
      <c r="J112" s="293">
        <v>353</v>
      </c>
      <c r="K112"/>
      <c r="L112" s="294" t="str">
        <f t="shared" si="1"/>
        <v>OK</v>
      </c>
    </row>
    <row r="113" spans="1:12" ht="35.85" customHeight="1" x14ac:dyDescent="0.2">
      <c r="A113" s="303" t="s">
        <v>532</v>
      </c>
      <c r="B113" s="1498" t="s">
        <v>538</v>
      </c>
      <c r="C113" s="1499"/>
      <c r="D113" s="1499"/>
      <c r="E113" s="1499"/>
      <c r="F113" s="1499"/>
      <c r="G113" s="1499"/>
      <c r="H113" s="291"/>
      <c r="I113" s="245"/>
      <c r="J113" s="293">
        <v>354</v>
      </c>
      <c r="K113"/>
      <c r="L113" s="294" t="str">
        <f t="shared" si="1"/>
        <v>OK</v>
      </c>
    </row>
    <row r="114" spans="1:12" ht="35.85" customHeight="1" x14ac:dyDescent="0.2">
      <c r="A114" s="303" t="s">
        <v>534</v>
      </c>
      <c r="B114" s="1498" t="s">
        <v>539</v>
      </c>
      <c r="C114" s="1499"/>
      <c r="D114" s="1499"/>
      <c r="E114" s="1499"/>
      <c r="F114" s="1499"/>
      <c r="G114" s="1499"/>
      <c r="H114" s="291"/>
      <c r="I114" s="245"/>
      <c r="J114" s="293">
        <v>355</v>
      </c>
      <c r="K114"/>
      <c r="L114" s="294" t="str">
        <f t="shared" si="1"/>
        <v>OK</v>
      </c>
    </row>
    <row r="115" spans="1:12" ht="35.85" customHeight="1" thickBot="1" x14ac:dyDescent="0.25">
      <c r="A115" s="303" t="s">
        <v>536</v>
      </c>
      <c r="B115" s="1498" t="s">
        <v>540</v>
      </c>
      <c r="C115" s="1499"/>
      <c r="D115" s="1499"/>
      <c r="E115" s="1499"/>
      <c r="F115" s="1499"/>
      <c r="G115" s="1499"/>
      <c r="H115" s="291"/>
      <c r="I115" s="292">
        <f>-1*I152</f>
        <v>0</v>
      </c>
      <c r="J115" s="293">
        <v>356</v>
      </c>
      <c r="K115"/>
      <c r="L115" s="294" t="str">
        <f t="shared" si="1"/>
        <v>OK</v>
      </c>
    </row>
    <row r="116" spans="1:12" ht="21.6" customHeight="1" thickTop="1" thickBot="1" x14ac:dyDescent="0.25">
      <c r="A116" s="308" t="s">
        <v>541</v>
      </c>
      <c r="B116" s="1500" t="s">
        <v>542</v>
      </c>
      <c r="C116" s="1501"/>
      <c r="D116" s="1501"/>
      <c r="E116" s="1501"/>
      <c r="F116" s="1501"/>
      <c r="G116" s="1501"/>
      <c r="H116" s="291"/>
      <c r="I116" s="292">
        <f>I107+SUM(I109:I115)</f>
        <v>0</v>
      </c>
      <c r="J116" s="293">
        <v>563</v>
      </c>
      <c r="K116"/>
      <c r="L116" s="294" t="str">
        <f>IF(I116&gt;=0,"OK","ERROR")</f>
        <v>OK</v>
      </c>
    </row>
    <row r="117" spans="1:12" ht="21.6" customHeight="1" thickTop="1" x14ac:dyDescent="0.2">
      <c r="A117" s="308" t="s">
        <v>543</v>
      </c>
      <c r="B117" s="1507" t="s">
        <v>499</v>
      </c>
      <c r="C117" s="1508"/>
      <c r="D117" s="1508"/>
      <c r="E117" s="1508"/>
      <c r="F117" s="1508"/>
      <c r="G117" s="1508"/>
      <c r="H117" s="291"/>
      <c r="I117" s="317"/>
      <c r="J117" s="293"/>
      <c r="K117"/>
      <c r="L117"/>
    </row>
    <row r="118" spans="1:12" ht="35.85" customHeight="1" x14ac:dyDescent="0.2">
      <c r="A118" s="303" t="s">
        <v>544</v>
      </c>
      <c r="B118" s="1503" t="s">
        <v>545</v>
      </c>
      <c r="C118" s="1504"/>
      <c r="D118" s="1504"/>
      <c r="E118" s="1504"/>
      <c r="F118" s="1504"/>
      <c r="G118" s="1504"/>
      <c r="H118" s="291"/>
      <c r="I118" s="245"/>
      <c r="J118" s="293">
        <v>363</v>
      </c>
      <c r="K118"/>
      <c r="L118" s="2" t="str">
        <f>IF(I118&lt;=0,"OK","ERROR")</f>
        <v>OK</v>
      </c>
    </row>
    <row r="119" spans="1:12" ht="21.6" customHeight="1" x14ac:dyDescent="0.2">
      <c r="A119" s="304" t="s">
        <v>546</v>
      </c>
      <c r="B119" s="1498" t="s">
        <v>547</v>
      </c>
      <c r="C119" s="1498"/>
      <c r="D119" s="1498"/>
      <c r="E119" s="1498"/>
      <c r="F119" s="1498"/>
      <c r="G119" s="1498"/>
      <c r="H119" s="291"/>
      <c r="I119" s="245"/>
      <c r="J119" s="293">
        <v>565</v>
      </c>
      <c r="K119"/>
      <c r="L119" s="2" t="str">
        <f>IF(I119&gt;=0,"OK","ERROR")</f>
        <v>OK</v>
      </c>
    </row>
    <row r="120" spans="1:12" ht="21.6" customHeight="1" thickBot="1" x14ac:dyDescent="0.25">
      <c r="A120" s="304" t="s">
        <v>548</v>
      </c>
      <c r="B120" s="1522" t="s">
        <v>549</v>
      </c>
      <c r="C120" s="1522"/>
      <c r="D120" s="1522"/>
      <c r="E120" s="1522"/>
      <c r="F120" s="1522"/>
      <c r="G120" s="1522"/>
      <c r="H120" s="291"/>
      <c r="I120" s="292">
        <f>I116+I118+I119</f>
        <v>0</v>
      </c>
      <c r="J120" s="293">
        <v>566</v>
      </c>
      <c r="K120"/>
      <c r="L120" s="294" t="str">
        <f>IF(I120&gt;=0,"OK","ERROR")</f>
        <v>OK</v>
      </c>
    </row>
    <row r="121" spans="1:12" ht="21.6" customHeight="1" thickTop="1" thickBot="1" x14ac:dyDescent="0.25">
      <c r="A121" s="322" t="s">
        <v>550</v>
      </c>
      <c r="B121" s="1518" t="s">
        <v>551</v>
      </c>
      <c r="C121" s="1501"/>
      <c r="D121" s="1501"/>
      <c r="E121" s="1501"/>
      <c r="F121" s="1501"/>
      <c r="G121" s="1501"/>
      <c r="H121" s="291"/>
      <c r="I121" s="292">
        <f>I94+I120</f>
        <v>0</v>
      </c>
      <c r="J121" s="293">
        <v>388</v>
      </c>
      <c r="K121"/>
      <c r="L121" s="2" t="str">
        <f>IF(I121&gt;0,"OK","ERROR")</f>
        <v>ERROR</v>
      </c>
    </row>
    <row r="122" spans="1:12" ht="7.5" customHeight="1" thickTop="1" x14ac:dyDescent="0.2">
      <c r="A122" s="311"/>
      <c r="B122" s="1505"/>
      <c r="C122" s="1505"/>
      <c r="D122" s="1505"/>
      <c r="E122" s="1505"/>
      <c r="F122" s="1505"/>
      <c r="G122" s="1505"/>
      <c r="H122" s="312"/>
      <c r="I122" s="313"/>
      <c r="J122" s="221"/>
      <c r="K122" s="267"/>
      <c r="L122" s="285"/>
    </row>
    <row r="123" spans="1:12" ht="7.5" customHeight="1" x14ac:dyDescent="0.2">
      <c r="A123" s="304"/>
      <c r="B123" s="1506"/>
      <c r="C123" s="1506"/>
      <c r="D123" s="1506"/>
      <c r="E123" s="1506"/>
      <c r="F123" s="1506"/>
      <c r="G123" s="1506"/>
      <c r="H123" s="291"/>
      <c r="I123" s="314"/>
      <c r="J123" s="293"/>
      <c r="K123" s="15"/>
      <c r="L123" s="285"/>
    </row>
    <row r="124" spans="1:12" ht="41.25" customHeight="1" thickBot="1" x14ac:dyDescent="0.3">
      <c r="A124" s="295" t="s">
        <v>552</v>
      </c>
      <c r="B124" s="1519" t="s">
        <v>553</v>
      </c>
      <c r="C124" s="1520"/>
      <c r="D124" s="1520"/>
      <c r="E124" s="1520"/>
      <c r="F124" s="1520"/>
      <c r="G124" s="1520"/>
      <c r="H124" s="291"/>
      <c r="I124" s="292">
        <f>I153</f>
        <v>0</v>
      </c>
      <c r="J124" s="319">
        <v>28</v>
      </c>
      <c r="K124" s="15"/>
      <c r="L124" s="294" t="str">
        <f>IF(I124&gt;=0,"OK","ERROR")</f>
        <v>OK</v>
      </c>
    </row>
    <row r="125" spans="1:12" ht="21.6" customHeight="1" thickTop="1" x14ac:dyDescent="0.2">
      <c r="A125" s="297" t="s">
        <v>554</v>
      </c>
      <c r="B125" s="1512" t="s">
        <v>555</v>
      </c>
      <c r="C125" s="1521"/>
      <c r="D125" s="1521"/>
      <c r="E125" s="1521"/>
      <c r="F125" s="1521"/>
      <c r="G125" s="1521"/>
      <c r="H125" s="291"/>
      <c r="I125" s="245"/>
      <c r="J125" s="293">
        <v>389</v>
      </c>
      <c r="K125" s="15"/>
      <c r="L125" s="294" t="str">
        <f>IF(I125&gt;=0,"OK","ERROR")</f>
        <v>OK</v>
      </c>
    </row>
    <row r="126" spans="1:12" ht="21.6" customHeight="1" x14ac:dyDescent="0.2">
      <c r="A126" s="297"/>
      <c r="B126" s="1512" t="s">
        <v>556</v>
      </c>
      <c r="C126" s="1512"/>
      <c r="D126" s="1512"/>
      <c r="E126" s="1512"/>
      <c r="F126" s="1512"/>
      <c r="G126" s="1512"/>
      <c r="H126" s="291"/>
      <c r="I126" s="309"/>
      <c r="J126" s="293"/>
      <c r="K126" s="15"/>
    </row>
    <row r="127" spans="1:12" ht="21.6" customHeight="1" x14ac:dyDescent="0.2">
      <c r="A127" s="297" t="s">
        <v>557</v>
      </c>
      <c r="B127" s="1523" t="s">
        <v>558</v>
      </c>
      <c r="C127" s="1524"/>
      <c r="D127" s="1524"/>
      <c r="E127" s="1524"/>
      <c r="F127" s="1524"/>
      <c r="G127" s="1524"/>
      <c r="H127" s="291"/>
      <c r="I127" s="245"/>
      <c r="J127" s="293">
        <v>390</v>
      </c>
      <c r="K127" s="15"/>
      <c r="L127" s="294" t="str">
        <f>IF(AND(I127&gt;=0,I127&lt;=I125),"OK","ERROR")</f>
        <v>OK</v>
      </c>
    </row>
    <row r="128" spans="1:12" ht="21.6" customHeight="1" x14ac:dyDescent="0.2">
      <c r="A128" s="297" t="s">
        <v>559</v>
      </c>
      <c r="B128" s="1512" t="s">
        <v>560</v>
      </c>
      <c r="C128" s="1521"/>
      <c r="D128" s="1521"/>
      <c r="E128" s="1521"/>
      <c r="F128" s="1521"/>
      <c r="G128" s="1521"/>
      <c r="H128" s="291"/>
      <c r="I128" s="245"/>
      <c r="J128" s="293">
        <v>391</v>
      </c>
      <c r="K128" s="15"/>
      <c r="L128" s="294" t="str">
        <f>IF(I128&gt;=0,"OK","ERROR")</f>
        <v>OK</v>
      </c>
    </row>
    <row r="129" spans="1:12" ht="35.85" customHeight="1" x14ac:dyDescent="0.2">
      <c r="A129" s="359" t="s">
        <v>561</v>
      </c>
      <c r="B129" s="1525" t="s">
        <v>562</v>
      </c>
      <c r="C129" s="1526"/>
      <c r="D129" s="1526"/>
      <c r="E129" s="1526"/>
      <c r="F129" s="1526"/>
      <c r="G129" s="1526"/>
      <c r="H129" s="231"/>
      <c r="I129" s="164"/>
      <c r="J129" s="361">
        <v>392</v>
      </c>
      <c r="K129" s="15"/>
      <c r="L129" s="294" t="str">
        <f>IF(I129&gt;=0,"OK","ERROR")</f>
        <v>OK</v>
      </c>
    </row>
    <row r="130" spans="1:12" ht="21.6" customHeight="1" x14ac:dyDescent="0.2">
      <c r="A130" s="366" t="s">
        <v>563</v>
      </c>
      <c r="B130" s="1525" t="s">
        <v>564</v>
      </c>
      <c r="C130" s="1526"/>
      <c r="D130" s="1526"/>
      <c r="E130" s="1526"/>
      <c r="F130" s="1526"/>
      <c r="G130" s="1526"/>
      <c r="H130" s="231"/>
      <c r="I130" s="164"/>
      <c r="J130" s="361">
        <v>393</v>
      </c>
      <c r="K130" s="15"/>
      <c r="L130" s="294" t="str">
        <f>IF(I130&gt;=0,"OK","ERROR")</f>
        <v>OK</v>
      </c>
    </row>
    <row r="131" spans="1:12" ht="35.85" customHeight="1" x14ac:dyDescent="0.2">
      <c r="A131" s="359" t="s">
        <v>565</v>
      </c>
      <c r="B131" s="1525" t="s">
        <v>566</v>
      </c>
      <c r="C131" s="1526"/>
      <c r="D131" s="1526"/>
      <c r="E131" s="1526"/>
      <c r="F131" s="1526"/>
      <c r="G131" s="1526"/>
      <c r="H131" s="231"/>
      <c r="I131" s="164"/>
      <c r="J131" s="361">
        <v>394</v>
      </c>
      <c r="K131" s="15"/>
      <c r="L131" s="294" t="str">
        <f>IF(I131&gt;=0,"OK","ERROR")</f>
        <v>OK</v>
      </c>
    </row>
    <row r="132" spans="1:12" ht="35.85" customHeight="1" x14ac:dyDescent="0.2">
      <c r="A132" s="359" t="s">
        <v>567</v>
      </c>
      <c r="B132" s="1494" t="s">
        <v>568</v>
      </c>
      <c r="C132" s="1517"/>
      <c r="D132" s="1517"/>
      <c r="E132" s="1517"/>
      <c r="F132" s="1517"/>
      <c r="G132" s="1517"/>
      <c r="H132" s="231"/>
      <c r="I132" s="164"/>
      <c r="J132" s="361">
        <v>395</v>
      </c>
      <c r="K132" s="15"/>
      <c r="L132" s="294" t="str">
        <f>IF(I132&gt;=0,"OK","ERROR")</f>
        <v>OK</v>
      </c>
    </row>
    <row r="133" spans="1:12" ht="35.85" customHeight="1" x14ac:dyDescent="0.2">
      <c r="A133" s="298" t="s">
        <v>569</v>
      </c>
      <c r="B133" s="1503" t="s">
        <v>570</v>
      </c>
      <c r="C133" s="1504"/>
      <c r="D133" s="1504"/>
      <c r="E133" s="1504"/>
      <c r="F133" s="1504"/>
      <c r="G133" s="1504"/>
      <c r="H133" s="291"/>
      <c r="I133" s="245"/>
      <c r="J133" s="293">
        <v>396</v>
      </c>
      <c r="K133" s="15"/>
      <c r="L133" s="294" t="str">
        <f>IF(I133&lt;=0,"OK","ERROR")</f>
        <v>OK</v>
      </c>
    </row>
    <row r="134" spans="1:12" ht="50.85" customHeight="1" x14ac:dyDescent="0.2">
      <c r="A134" s="298" t="s">
        <v>571</v>
      </c>
      <c r="B134" s="1503" t="s">
        <v>572</v>
      </c>
      <c r="C134" s="1504"/>
      <c r="D134" s="1504"/>
      <c r="E134" s="1504"/>
      <c r="F134" s="1504"/>
      <c r="G134" s="1504"/>
      <c r="H134" s="291"/>
      <c r="I134" s="245"/>
      <c r="J134" s="293">
        <v>397</v>
      </c>
      <c r="K134" s="15"/>
      <c r="L134" s="294" t="str">
        <f t="shared" ref="L134:L140" si="2">IF(I134&gt;=0,"OK","ERROR")</f>
        <v>OK</v>
      </c>
    </row>
    <row r="135" spans="1:12" ht="35.85" customHeight="1" x14ac:dyDescent="0.2">
      <c r="A135" s="298" t="s">
        <v>573</v>
      </c>
      <c r="B135" s="1503" t="s">
        <v>574</v>
      </c>
      <c r="C135" s="1504"/>
      <c r="D135" s="1504"/>
      <c r="E135" s="1504"/>
      <c r="F135" s="1504"/>
      <c r="G135" s="1504"/>
      <c r="H135" s="291"/>
      <c r="I135" s="245"/>
      <c r="J135" s="293">
        <v>398</v>
      </c>
      <c r="K135" s="15"/>
      <c r="L135" s="294" t="str">
        <f t="shared" si="2"/>
        <v>OK</v>
      </c>
    </row>
    <row r="136" spans="1:12" ht="35.85" customHeight="1" x14ac:dyDescent="0.2">
      <c r="A136" s="298" t="s">
        <v>575</v>
      </c>
      <c r="B136" s="1503" t="s">
        <v>576</v>
      </c>
      <c r="C136" s="1504"/>
      <c r="D136" s="1504"/>
      <c r="E136" s="1504"/>
      <c r="F136" s="1504"/>
      <c r="G136" s="1504"/>
      <c r="H136" s="291"/>
      <c r="I136" s="245"/>
      <c r="J136" s="293">
        <v>399</v>
      </c>
      <c r="K136" s="15"/>
      <c r="L136" s="294" t="str">
        <f t="shared" si="2"/>
        <v>OK</v>
      </c>
    </row>
    <row r="137" spans="1:12" ht="35.85" customHeight="1" x14ac:dyDescent="0.2">
      <c r="A137" s="298" t="s">
        <v>577</v>
      </c>
      <c r="B137" s="1503" t="s">
        <v>578</v>
      </c>
      <c r="C137" s="1504"/>
      <c r="D137" s="1504"/>
      <c r="E137" s="1504"/>
      <c r="F137" s="1504"/>
      <c r="G137" s="1504"/>
      <c r="H137" s="291"/>
      <c r="I137" s="245"/>
      <c r="J137" s="293">
        <v>400</v>
      </c>
      <c r="K137" s="15"/>
      <c r="L137" s="294" t="str">
        <f t="shared" si="2"/>
        <v>OK</v>
      </c>
    </row>
    <row r="138" spans="1:12" ht="35.85" customHeight="1" x14ac:dyDescent="0.2">
      <c r="A138" s="298" t="s">
        <v>579</v>
      </c>
      <c r="B138" s="1503" t="s">
        <v>580</v>
      </c>
      <c r="C138" s="1504"/>
      <c r="D138" s="1504"/>
      <c r="E138" s="1504"/>
      <c r="F138" s="1504"/>
      <c r="G138" s="1504"/>
      <c r="H138" s="291"/>
      <c r="I138" s="245"/>
      <c r="J138" s="293">
        <v>401</v>
      </c>
      <c r="K138" s="15"/>
      <c r="L138" s="294" t="str">
        <f t="shared" si="2"/>
        <v>OK</v>
      </c>
    </row>
    <row r="139" spans="1:12" ht="35.85" customHeight="1" x14ac:dyDescent="0.2">
      <c r="A139" s="298" t="s">
        <v>581</v>
      </c>
      <c r="B139" s="1503" t="s">
        <v>582</v>
      </c>
      <c r="C139" s="1504"/>
      <c r="D139" s="1504"/>
      <c r="E139" s="1504"/>
      <c r="F139" s="1504"/>
      <c r="G139" s="1504"/>
      <c r="H139" s="291"/>
      <c r="I139" s="245"/>
      <c r="J139" s="293">
        <v>402</v>
      </c>
      <c r="K139" s="15"/>
      <c r="L139" s="294" t="str">
        <f t="shared" si="2"/>
        <v>OK</v>
      </c>
    </row>
    <row r="140" spans="1:12" ht="21.6" customHeight="1" thickBot="1" x14ac:dyDescent="0.25">
      <c r="A140" s="308" t="s">
        <v>583</v>
      </c>
      <c r="B140" s="1500" t="s">
        <v>584</v>
      </c>
      <c r="C140" s="1501"/>
      <c r="D140" s="1501"/>
      <c r="E140" s="1501"/>
      <c r="F140" s="1501"/>
      <c r="G140" s="1501"/>
      <c r="H140" s="291"/>
      <c r="I140" s="292">
        <f>I125+SUM(I128:I139)</f>
        <v>0</v>
      </c>
      <c r="J140" s="293">
        <v>403</v>
      </c>
      <c r="K140" s="15"/>
      <c r="L140" s="294" t="str">
        <f t="shared" si="2"/>
        <v>OK</v>
      </c>
    </row>
    <row r="141" spans="1:12" ht="35.85" customHeight="1" thickTop="1" x14ac:dyDescent="0.2">
      <c r="A141" s="315" t="s">
        <v>585</v>
      </c>
      <c r="B141" s="1507" t="s">
        <v>586</v>
      </c>
      <c r="C141" s="1508"/>
      <c r="D141" s="1508"/>
      <c r="E141" s="1508"/>
      <c r="F141" s="1508"/>
      <c r="G141" s="1508"/>
      <c r="H141" s="291"/>
      <c r="I141" s="309"/>
      <c r="J141" s="293"/>
      <c r="K141" s="15"/>
    </row>
    <row r="142" spans="1:12" ht="35.85" customHeight="1" x14ac:dyDescent="0.2">
      <c r="A142" s="298" t="s">
        <v>587</v>
      </c>
      <c r="B142" s="1503" t="s">
        <v>588</v>
      </c>
      <c r="C142" s="1504"/>
      <c r="D142" s="1504"/>
      <c r="E142" s="1504"/>
      <c r="F142" s="1504"/>
      <c r="G142" s="1504"/>
      <c r="H142" s="291"/>
      <c r="I142" s="245"/>
      <c r="J142" s="293">
        <v>404</v>
      </c>
      <c r="K142" s="15"/>
      <c r="L142" s="294" t="str">
        <f t="shared" ref="L142:L147" si="3">IF(I142&lt;=0,"OK","ERROR")</f>
        <v>OK</v>
      </c>
    </row>
    <row r="143" spans="1:12" ht="35.85" customHeight="1" x14ac:dyDescent="0.2">
      <c r="A143" s="298" t="s">
        <v>589</v>
      </c>
      <c r="B143" s="1503" t="s">
        <v>590</v>
      </c>
      <c r="C143" s="1504"/>
      <c r="D143" s="1504"/>
      <c r="E143" s="1504"/>
      <c r="F143" s="1504"/>
      <c r="G143" s="1504"/>
      <c r="H143" s="291"/>
      <c r="I143" s="245"/>
      <c r="J143" s="293">
        <v>405</v>
      </c>
      <c r="K143" s="15"/>
      <c r="L143" s="294" t="str">
        <f t="shared" si="3"/>
        <v>OK</v>
      </c>
    </row>
    <row r="144" spans="1:12" ht="50.85" customHeight="1" x14ac:dyDescent="0.2">
      <c r="A144" s="298" t="s">
        <v>591</v>
      </c>
      <c r="B144" s="1503" t="s">
        <v>592</v>
      </c>
      <c r="C144" s="1504"/>
      <c r="D144" s="1504"/>
      <c r="E144" s="1504"/>
      <c r="F144" s="1504"/>
      <c r="G144" s="1504"/>
      <c r="H144" s="291"/>
      <c r="I144" s="245"/>
      <c r="J144" s="293">
        <v>406</v>
      </c>
      <c r="K144" s="15"/>
      <c r="L144" s="294" t="str">
        <f t="shared" si="3"/>
        <v>OK</v>
      </c>
    </row>
    <row r="145" spans="1:16" ht="35.85" customHeight="1" x14ac:dyDescent="0.2">
      <c r="A145" s="298" t="s">
        <v>593</v>
      </c>
      <c r="B145" s="1503" t="s">
        <v>594</v>
      </c>
      <c r="C145" s="1504"/>
      <c r="D145" s="1504"/>
      <c r="E145" s="1504"/>
      <c r="F145" s="1504"/>
      <c r="G145" s="1504"/>
      <c r="H145" s="291"/>
      <c r="I145" s="245"/>
      <c r="J145" s="293">
        <v>407</v>
      </c>
      <c r="K145" s="15"/>
      <c r="L145" s="294" t="str">
        <f t="shared" si="3"/>
        <v>OK</v>
      </c>
    </row>
    <row r="146" spans="1:16" ht="35.85" customHeight="1" x14ac:dyDescent="0.2">
      <c r="A146" s="298" t="s">
        <v>595</v>
      </c>
      <c r="B146" s="1503" t="s">
        <v>596</v>
      </c>
      <c r="C146" s="1504"/>
      <c r="D146" s="1504"/>
      <c r="E146" s="1504"/>
      <c r="F146" s="1504"/>
      <c r="G146" s="1504"/>
      <c r="H146" s="291"/>
      <c r="I146" s="245"/>
      <c r="J146" s="293">
        <v>408</v>
      </c>
      <c r="K146" s="15"/>
      <c r="L146" s="294" t="str">
        <f t="shared" si="3"/>
        <v>OK</v>
      </c>
    </row>
    <row r="147" spans="1:16" ht="35.85" customHeight="1" x14ac:dyDescent="0.2">
      <c r="A147" s="298" t="s">
        <v>597</v>
      </c>
      <c r="B147" s="1503" t="s">
        <v>598</v>
      </c>
      <c r="C147" s="1504"/>
      <c r="D147" s="1504"/>
      <c r="E147" s="1504"/>
      <c r="F147" s="1504"/>
      <c r="G147" s="1504"/>
      <c r="H147" s="291"/>
      <c r="I147" s="245"/>
      <c r="J147" s="293">
        <v>409</v>
      </c>
      <c r="K147" s="15"/>
      <c r="L147" s="294" t="str">
        <f t="shared" si="3"/>
        <v>OK</v>
      </c>
    </row>
    <row r="148" spans="1:16" ht="21.6" customHeight="1" x14ac:dyDescent="0.2">
      <c r="A148" s="297"/>
      <c r="B148" s="1512" t="s">
        <v>599</v>
      </c>
      <c r="C148" s="1512"/>
      <c r="D148" s="1512"/>
      <c r="E148" s="1512"/>
      <c r="F148" s="1512"/>
      <c r="G148" s="1512"/>
      <c r="H148" s="291"/>
      <c r="I148" s="317"/>
      <c r="J148" s="293"/>
      <c r="K148" s="15"/>
      <c r="L148"/>
      <c r="O148"/>
      <c r="P148"/>
    </row>
    <row r="149" spans="1:16" ht="21.6" customHeight="1" x14ac:dyDescent="0.2">
      <c r="A149" s="298" t="s">
        <v>600</v>
      </c>
      <c r="B149" s="1503" t="s">
        <v>2226</v>
      </c>
      <c r="C149" s="1503"/>
      <c r="D149" s="1503"/>
      <c r="E149" s="1503"/>
      <c r="F149" s="1503"/>
      <c r="G149" s="1503"/>
      <c r="H149" s="291"/>
      <c r="I149" s="245"/>
      <c r="J149" s="293">
        <v>607</v>
      </c>
      <c r="K149" s="15"/>
      <c r="L149" s="294" t="str">
        <f>IF(I149&lt;=0,"OK","ERROR")</f>
        <v>OK</v>
      </c>
    </row>
    <row r="150" spans="1:16" ht="21.6" customHeight="1" x14ac:dyDescent="0.2">
      <c r="A150" s="299" t="s">
        <v>601</v>
      </c>
      <c r="B150" s="1507" t="s">
        <v>602</v>
      </c>
      <c r="C150" s="1508"/>
      <c r="D150" s="1508"/>
      <c r="E150" s="1508"/>
      <c r="F150" s="1508"/>
      <c r="G150" s="1508"/>
      <c r="H150" s="291"/>
      <c r="I150" s="309"/>
      <c r="J150" s="293"/>
      <c r="K150" s="15"/>
    </row>
    <row r="151" spans="1:16" ht="35.85" customHeight="1" x14ac:dyDescent="0.2">
      <c r="A151" s="298" t="s">
        <v>603</v>
      </c>
      <c r="B151" s="1503" t="s">
        <v>604</v>
      </c>
      <c r="C151" s="1504"/>
      <c r="D151" s="1504"/>
      <c r="E151" s="1504"/>
      <c r="F151" s="1504"/>
      <c r="G151" s="1504"/>
      <c r="H151" s="291"/>
      <c r="I151" s="245"/>
      <c r="J151" s="293">
        <v>425</v>
      </c>
      <c r="K151" s="15"/>
      <c r="L151" s="294" t="str">
        <f>IF(I151&lt;=0,"OK","ERROR")</f>
        <v>OK</v>
      </c>
    </row>
    <row r="152" spans="1:16" ht="21.6" customHeight="1" x14ac:dyDescent="0.2">
      <c r="A152" s="297" t="s">
        <v>605</v>
      </c>
      <c r="B152" s="1503" t="s">
        <v>606</v>
      </c>
      <c r="C152" s="1504"/>
      <c r="D152" s="1504"/>
      <c r="E152" s="1504"/>
      <c r="F152" s="1504"/>
      <c r="G152" s="1504"/>
      <c r="H152" s="291"/>
      <c r="I152" s="245"/>
      <c r="J152" s="293">
        <v>426</v>
      </c>
      <c r="K152"/>
      <c r="L152" s="294" t="str">
        <f>IF(I152&gt;=0,"OK","ERROR")</f>
        <v>OK</v>
      </c>
    </row>
    <row r="153" spans="1:16" ht="21.6" customHeight="1" thickBot="1" x14ac:dyDescent="0.25">
      <c r="A153" s="299" t="s">
        <v>607</v>
      </c>
      <c r="B153" s="1518" t="s">
        <v>608</v>
      </c>
      <c r="C153" s="1501"/>
      <c r="D153" s="1501"/>
      <c r="E153" s="1501"/>
      <c r="F153" s="1501"/>
      <c r="G153" s="1501"/>
      <c r="H153" s="291"/>
      <c r="I153" s="292">
        <f>I140+I142+I143+I144+I145+I146+I147+I151+I152</f>
        <v>0</v>
      </c>
      <c r="J153" s="293">
        <v>427</v>
      </c>
      <c r="K153"/>
      <c r="L153" s="294" t="str">
        <f>IF(I153&gt;=0,"OK","ERROR")</f>
        <v>OK</v>
      </c>
    </row>
    <row r="154" spans="1:16" ht="7.5" customHeight="1" thickTop="1" x14ac:dyDescent="0.2">
      <c r="A154" s="311"/>
      <c r="B154" s="1505"/>
      <c r="C154" s="1505"/>
      <c r="D154" s="1505"/>
      <c r="E154" s="1505"/>
      <c r="F154" s="1505"/>
      <c r="G154" s="1505"/>
      <c r="H154" s="312"/>
      <c r="I154" s="323"/>
      <c r="J154" s="221"/>
      <c r="K154"/>
      <c r="L154" s="285"/>
    </row>
    <row r="155" spans="1:16" ht="7.5" customHeight="1" x14ac:dyDescent="0.2">
      <c r="A155" s="304"/>
      <c r="B155" s="1506"/>
      <c r="C155" s="1506"/>
      <c r="D155" s="1506"/>
      <c r="E155" s="1506"/>
      <c r="F155" s="1506"/>
      <c r="G155" s="1506"/>
      <c r="H155" s="291"/>
      <c r="I155" s="314"/>
      <c r="J155" s="293"/>
      <c r="K155" s="15"/>
      <c r="L155" s="285"/>
    </row>
    <row r="156" spans="1:16" s="502" customFormat="1" ht="41.25" customHeight="1" x14ac:dyDescent="0.25">
      <c r="A156" s="363" t="s">
        <v>200</v>
      </c>
      <c r="B156" s="1528" t="s">
        <v>609</v>
      </c>
      <c r="C156" s="1528"/>
      <c r="D156" s="1528"/>
      <c r="E156" s="1528"/>
      <c r="F156" s="1528"/>
      <c r="G156" s="1528"/>
      <c r="H156" s="231"/>
      <c r="I156" s="1326"/>
      <c r="J156" s="1205"/>
      <c r="K156" s="510"/>
      <c r="L156" s="1327"/>
      <c r="M156" s="462"/>
    </row>
    <row r="157" spans="1:16" s="502" customFormat="1" ht="21.6" customHeight="1" x14ac:dyDescent="0.2">
      <c r="A157" s="366" t="s">
        <v>610</v>
      </c>
      <c r="B157" s="1527" t="s">
        <v>611</v>
      </c>
      <c r="C157" s="1527"/>
      <c r="D157" s="1527"/>
      <c r="E157" s="1527"/>
      <c r="F157" s="1527"/>
      <c r="G157" s="1527"/>
      <c r="H157" s="231"/>
      <c r="I157" s="164"/>
      <c r="J157" s="361">
        <v>428</v>
      </c>
      <c r="K157" s="510"/>
      <c r="L157" s="545" t="str">
        <f>IF(I157&gt;=0,"OK","ERROR")</f>
        <v>OK</v>
      </c>
      <c r="M157" s="462"/>
    </row>
    <row r="158" spans="1:16" s="502" customFormat="1" ht="21.6" customHeight="1" x14ac:dyDescent="0.2">
      <c r="A158" s="552" t="s">
        <v>612</v>
      </c>
      <c r="B158" s="1494" t="s">
        <v>613</v>
      </c>
      <c r="C158" s="1494"/>
      <c r="D158" s="1494"/>
      <c r="E158" s="1494"/>
      <c r="F158" s="1494"/>
      <c r="G158" s="1494"/>
      <c r="H158" s="231"/>
      <c r="I158" s="164"/>
      <c r="J158" s="1205">
        <v>429</v>
      </c>
      <c r="K158" s="510"/>
      <c r="L158" s="545" t="str">
        <f>IF(I158&gt;=I59,"OK","ERROR")</f>
        <v>OK</v>
      </c>
      <c r="M158" s="462"/>
    </row>
    <row r="159" spans="1:16" s="502" customFormat="1" ht="21.6" customHeight="1" x14ac:dyDescent="0.2">
      <c r="A159" s="552" t="s">
        <v>614</v>
      </c>
      <c r="B159" s="1494" t="s">
        <v>615</v>
      </c>
      <c r="C159" s="1494"/>
      <c r="D159" s="1494"/>
      <c r="E159" s="1494"/>
      <c r="F159" s="1494"/>
      <c r="G159" s="1494"/>
      <c r="H159" s="231"/>
      <c r="I159" s="164"/>
      <c r="J159" s="361">
        <v>430</v>
      </c>
      <c r="K159" s="510"/>
      <c r="L159" s="545" t="str">
        <f>IF(I159&gt;=0,"OK","ERROR")</f>
        <v>OK</v>
      </c>
      <c r="M159" s="462"/>
    </row>
    <row r="160" spans="1:16" s="502" customFormat="1" ht="21.6" customHeight="1" x14ac:dyDescent="0.2">
      <c r="A160" s="366" t="s">
        <v>616</v>
      </c>
      <c r="B160" s="1494" t="s">
        <v>617</v>
      </c>
      <c r="C160" s="1494"/>
      <c r="D160" s="1494"/>
      <c r="E160" s="1494"/>
      <c r="F160" s="1494"/>
      <c r="G160" s="1494"/>
      <c r="H160" s="231"/>
      <c r="I160" s="164"/>
      <c r="J160" s="1205">
        <v>431</v>
      </c>
      <c r="K160" s="510"/>
      <c r="L160" s="545" t="str">
        <f>IF(I160&gt;=0,"OK","ERROR")</f>
        <v>OK</v>
      </c>
      <c r="M160" s="462"/>
    </row>
    <row r="161" spans="1:13" s="502" customFormat="1" ht="21.6" customHeight="1" x14ac:dyDescent="0.2">
      <c r="A161" s="552" t="s">
        <v>618</v>
      </c>
      <c r="B161" s="1494" t="s">
        <v>619</v>
      </c>
      <c r="C161" s="1494"/>
      <c r="D161" s="1494"/>
      <c r="E161" s="1494"/>
      <c r="F161" s="1494"/>
      <c r="G161" s="1494"/>
      <c r="H161" s="231"/>
      <c r="I161" s="164"/>
      <c r="J161" s="361">
        <v>432</v>
      </c>
      <c r="K161" s="510"/>
      <c r="L161" s="545" t="str">
        <f>IF(I161&gt;=I103,"OK","ERROR")</f>
        <v>OK</v>
      </c>
      <c r="M161" s="462"/>
    </row>
    <row r="162" spans="1:13" s="502" customFormat="1" ht="21.6" customHeight="1" x14ac:dyDescent="0.2">
      <c r="A162" s="552" t="s">
        <v>620</v>
      </c>
      <c r="B162" s="1494" t="s">
        <v>621</v>
      </c>
      <c r="C162" s="1494"/>
      <c r="D162" s="1494"/>
      <c r="E162" s="1494"/>
      <c r="F162" s="1494"/>
      <c r="G162" s="1494"/>
      <c r="H162" s="231"/>
      <c r="I162" s="164"/>
      <c r="J162" s="1205">
        <v>433</v>
      </c>
      <c r="K162" s="510"/>
      <c r="L162" s="545" t="str">
        <f>IF(I162&gt;=0,"OK","ERROR")</f>
        <v>OK</v>
      </c>
      <c r="M162" s="462"/>
    </row>
    <row r="163" spans="1:13" s="502" customFormat="1" ht="21.6" customHeight="1" x14ac:dyDescent="0.2">
      <c r="A163" s="366" t="s">
        <v>622</v>
      </c>
      <c r="B163" s="1494" t="s">
        <v>623</v>
      </c>
      <c r="C163" s="1494"/>
      <c r="D163" s="1494"/>
      <c r="E163" s="1494"/>
      <c r="F163" s="1494"/>
      <c r="G163" s="1494"/>
      <c r="H163" s="231"/>
      <c r="I163" s="164"/>
      <c r="J163" s="361">
        <v>434</v>
      </c>
      <c r="K163" s="510"/>
      <c r="L163" s="545" t="str">
        <f>IF(I163&gt;=0,"OK","ERROR")</f>
        <v>OK</v>
      </c>
      <c r="M163" s="462"/>
    </row>
    <row r="164" spans="1:13" s="502" customFormat="1" ht="21.6" customHeight="1" x14ac:dyDescent="0.2">
      <c r="A164" s="552" t="s">
        <v>624</v>
      </c>
      <c r="B164" s="1494" t="s">
        <v>625</v>
      </c>
      <c r="C164" s="1494"/>
      <c r="D164" s="1494"/>
      <c r="E164" s="1494"/>
      <c r="F164" s="1494"/>
      <c r="G164" s="1494"/>
      <c r="H164" s="231"/>
      <c r="I164" s="164"/>
      <c r="J164" s="1205">
        <v>435</v>
      </c>
      <c r="K164" s="510"/>
      <c r="L164" s="545" t="str">
        <f>IF(I164&gt;=I129,"OK","ERROR")</f>
        <v>OK</v>
      </c>
      <c r="M164" s="462"/>
    </row>
    <row r="165" spans="1:13" s="502" customFormat="1" ht="21.6" customHeight="1" x14ac:dyDescent="0.2">
      <c r="A165" s="552" t="s">
        <v>626</v>
      </c>
      <c r="B165" s="1494" t="s">
        <v>627</v>
      </c>
      <c r="C165" s="1494"/>
      <c r="D165" s="1494"/>
      <c r="E165" s="1494"/>
      <c r="F165" s="1494"/>
      <c r="G165" s="1494"/>
      <c r="H165" s="231"/>
      <c r="I165" s="164"/>
      <c r="J165" s="361">
        <v>436</v>
      </c>
      <c r="K165" s="510"/>
      <c r="L165" s="545" t="str">
        <f>IF(I165&gt;=0,"OK","ERROR")</f>
        <v>OK</v>
      </c>
      <c r="M165" s="462"/>
    </row>
    <row r="166" spans="1:13" ht="50.85" customHeight="1" x14ac:dyDescent="0.2">
      <c r="A166" s="298" t="s">
        <v>628</v>
      </c>
      <c r="B166" s="1503" t="s">
        <v>629</v>
      </c>
      <c r="C166" s="1504"/>
      <c r="D166" s="1504"/>
      <c r="E166" s="1504"/>
      <c r="F166" s="1504"/>
      <c r="G166" s="1504"/>
      <c r="H166" s="291"/>
      <c r="I166" s="245"/>
      <c r="J166" s="319">
        <v>437</v>
      </c>
      <c r="K166" s="15"/>
      <c r="L166" s="294" t="str">
        <f>IF(I166&gt;=0,"OK","ERROR")</f>
        <v>OK</v>
      </c>
    </row>
    <row r="167" spans="1:13" ht="21.6" customHeight="1" x14ac:dyDescent="0.2">
      <c r="A167" s="297"/>
      <c r="B167" s="1502" t="s">
        <v>556</v>
      </c>
      <c r="C167" s="1502"/>
      <c r="D167" s="1502"/>
      <c r="E167" s="1502"/>
      <c r="F167" s="1502"/>
      <c r="G167" s="1502"/>
      <c r="H167" s="291"/>
      <c r="I167" s="317"/>
      <c r="J167" s="293"/>
      <c r="K167" s="15"/>
    </row>
    <row r="168" spans="1:13" ht="21.6" customHeight="1" x14ac:dyDescent="0.2">
      <c r="A168" s="304" t="s">
        <v>630</v>
      </c>
      <c r="B168" s="1503" t="s">
        <v>631</v>
      </c>
      <c r="C168" s="1504"/>
      <c r="D168" s="1504"/>
      <c r="E168" s="1504"/>
      <c r="F168" s="1504"/>
      <c r="G168" s="1504"/>
      <c r="H168" s="291"/>
      <c r="I168" s="245"/>
      <c r="J168" s="293">
        <v>438</v>
      </c>
      <c r="K168" s="15"/>
      <c r="L168" s="294" t="str">
        <f t="shared" ref="L168:L173" si="4">IF(AND(I168&gt;=0,I168&lt;=$I$166),"OK","ERROR")</f>
        <v>OK</v>
      </c>
    </row>
    <row r="169" spans="1:13" ht="21.6" customHeight="1" x14ac:dyDescent="0.2">
      <c r="A169" s="304" t="s">
        <v>632</v>
      </c>
      <c r="B169" s="1503" t="s">
        <v>633</v>
      </c>
      <c r="C169" s="1504"/>
      <c r="D169" s="1504"/>
      <c r="E169" s="1504"/>
      <c r="F169" s="1504"/>
      <c r="G169" s="1504"/>
      <c r="H169" s="291"/>
      <c r="I169" s="245"/>
      <c r="J169" s="293">
        <v>439</v>
      </c>
      <c r="K169" s="15"/>
      <c r="L169" s="294" t="str">
        <f t="shared" si="4"/>
        <v>OK</v>
      </c>
    </row>
    <row r="170" spans="1:13" ht="21.6" customHeight="1" x14ac:dyDescent="0.2">
      <c r="A170" s="304" t="s">
        <v>634</v>
      </c>
      <c r="B170" s="1503" t="s">
        <v>635</v>
      </c>
      <c r="C170" s="1504"/>
      <c r="D170" s="1504"/>
      <c r="E170" s="1504"/>
      <c r="F170" s="1504"/>
      <c r="G170" s="1504"/>
      <c r="H170" s="291"/>
      <c r="I170" s="245"/>
      <c r="J170" s="293">
        <v>440</v>
      </c>
      <c r="K170" s="15"/>
      <c r="L170" s="294" t="str">
        <f t="shared" si="4"/>
        <v>OK</v>
      </c>
    </row>
    <row r="171" spans="1:13" ht="21.6" customHeight="1" x14ac:dyDescent="0.2">
      <c r="A171" s="304" t="s">
        <v>636</v>
      </c>
      <c r="B171" s="1503" t="s">
        <v>637</v>
      </c>
      <c r="C171" s="1504"/>
      <c r="D171" s="1504"/>
      <c r="E171" s="1504"/>
      <c r="F171" s="1504"/>
      <c r="G171" s="1504"/>
      <c r="H171" s="291"/>
      <c r="I171" s="245"/>
      <c r="J171" s="293">
        <v>441</v>
      </c>
      <c r="K171" s="15"/>
      <c r="L171" s="294" t="str">
        <f t="shared" si="4"/>
        <v>OK</v>
      </c>
    </row>
    <row r="172" spans="1:13" ht="21.6" customHeight="1" x14ac:dyDescent="0.2">
      <c r="A172" s="304" t="s">
        <v>638</v>
      </c>
      <c r="B172" s="1503" t="s">
        <v>639</v>
      </c>
      <c r="C172" s="1504"/>
      <c r="D172" s="1504"/>
      <c r="E172" s="1504"/>
      <c r="F172" s="1504"/>
      <c r="G172" s="1504"/>
      <c r="H172" s="291"/>
      <c r="I172" s="245"/>
      <c r="J172" s="293">
        <v>442</v>
      </c>
      <c r="K172" s="15"/>
      <c r="L172" s="294" t="str">
        <f t="shared" si="4"/>
        <v>OK</v>
      </c>
    </row>
    <row r="173" spans="1:13" ht="21.6" customHeight="1" x14ac:dyDescent="0.2">
      <c r="A173" s="304" t="s">
        <v>640</v>
      </c>
      <c r="B173" s="1498" t="s">
        <v>641</v>
      </c>
      <c r="C173" s="1499"/>
      <c r="D173" s="1499"/>
      <c r="E173" s="1499"/>
      <c r="F173" s="1499"/>
      <c r="G173" s="1499"/>
      <c r="H173" s="291"/>
      <c r="I173" s="245"/>
      <c r="J173" s="293">
        <v>443</v>
      </c>
      <c r="K173" s="15"/>
      <c r="L173" s="294" t="str">
        <f t="shared" si="4"/>
        <v>OK</v>
      </c>
    </row>
    <row r="174" spans="1:13" ht="41.25" customHeight="1" x14ac:dyDescent="0.25">
      <c r="A174" s="324" t="s">
        <v>201</v>
      </c>
      <c r="B174" s="1529" t="s">
        <v>642</v>
      </c>
      <c r="C174" s="1529"/>
      <c r="D174" s="1529"/>
      <c r="E174" s="1529"/>
      <c r="F174" s="1529"/>
      <c r="G174" s="1529"/>
      <c r="H174" s="291"/>
      <c r="I174" s="314"/>
      <c r="J174" s="293"/>
      <c r="K174" s="15"/>
    </row>
    <row r="175" spans="1:13" ht="21.6" customHeight="1" thickBot="1" x14ac:dyDescent="0.25">
      <c r="A175" s="297" t="s">
        <v>643</v>
      </c>
      <c r="B175" s="1503" t="s">
        <v>644</v>
      </c>
      <c r="C175" s="1504"/>
      <c r="D175" s="1504"/>
      <c r="E175" s="1504"/>
      <c r="F175" s="1504"/>
      <c r="G175" s="1504"/>
      <c r="H175" s="291"/>
      <c r="I175" s="292">
        <f>I57</f>
        <v>0</v>
      </c>
      <c r="J175" s="293">
        <v>444</v>
      </c>
      <c r="K175" s="15"/>
      <c r="L175"/>
    </row>
    <row r="176" spans="1:13" ht="21.6" customHeight="1" thickTop="1" thickBot="1" x14ac:dyDescent="0.25">
      <c r="A176" s="297" t="s">
        <v>645</v>
      </c>
      <c r="B176" s="1503" t="s">
        <v>646</v>
      </c>
      <c r="C176" s="1504"/>
      <c r="D176" s="1504"/>
      <c r="E176" s="1504"/>
      <c r="F176" s="1504"/>
      <c r="G176" s="1504"/>
      <c r="H176" s="291"/>
      <c r="I176" s="292">
        <f>I80</f>
        <v>0</v>
      </c>
      <c r="J176" s="293">
        <v>445</v>
      </c>
      <c r="K176" s="15"/>
      <c r="L176"/>
    </row>
    <row r="177" spans="1:13" ht="21.6" customHeight="1" thickTop="1" thickBot="1" x14ac:dyDescent="0.25">
      <c r="A177" s="297" t="s">
        <v>647</v>
      </c>
      <c r="B177" s="1503" t="s">
        <v>648</v>
      </c>
      <c r="C177" s="1504"/>
      <c r="D177" s="1504"/>
      <c r="E177" s="1504"/>
      <c r="F177" s="1504"/>
      <c r="G177" s="1504"/>
      <c r="H177" s="291"/>
      <c r="I177" s="292">
        <f>I83</f>
        <v>0</v>
      </c>
      <c r="J177" s="293">
        <v>446</v>
      </c>
      <c r="K177" s="15"/>
      <c r="L177"/>
    </row>
    <row r="178" spans="1:13" ht="21.6" customHeight="1" thickTop="1" thickBot="1" x14ac:dyDescent="0.25">
      <c r="A178" s="297" t="s">
        <v>649</v>
      </c>
      <c r="B178" s="1503" t="s">
        <v>650</v>
      </c>
      <c r="C178" s="1504"/>
      <c r="D178" s="1504"/>
      <c r="E178" s="1504"/>
      <c r="F178" s="1504"/>
      <c r="G178" s="1504"/>
      <c r="H178" s="291"/>
      <c r="I178" s="292">
        <f>I87</f>
        <v>0</v>
      </c>
      <c r="J178" s="293">
        <v>447</v>
      </c>
      <c r="K178" s="15"/>
      <c r="L178"/>
    </row>
    <row r="179" spans="1:13" ht="21.6" customHeight="1" thickTop="1" thickBot="1" x14ac:dyDescent="0.25">
      <c r="A179" s="297" t="s">
        <v>651</v>
      </c>
      <c r="B179" s="1503" t="s">
        <v>652</v>
      </c>
      <c r="C179" s="1504"/>
      <c r="D179" s="1504"/>
      <c r="E179" s="1504"/>
      <c r="F179" s="1504"/>
      <c r="G179" s="1504"/>
      <c r="H179" s="291"/>
      <c r="I179" s="292">
        <f>I94</f>
        <v>0</v>
      </c>
      <c r="J179" s="293">
        <v>448</v>
      </c>
      <c r="K179" s="15"/>
      <c r="L179"/>
    </row>
    <row r="180" spans="1:13" ht="21.6" customHeight="1" thickTop="1" thickBot="1" x14ac:dyDescent="0.25">
      <c r="A180" s="297" t="s">
        <v>653</v>
      </c>
      <c r="B180" s="1503" t="s">
        <v>654</v>
      </c>
      <c r="C180" s="1504"/>
      <c r="D180" s="1504"/>
      <c r="E180" s="1504"/>
      <c r="F180" s="1504"/>
      <c r="G180" s="1504"/>
      <c r="H180" s="291"/>
      <c r="I180" s="292">
        <f>I107</f>
        <v>0</v>
      </c>
      <c r="J180" s="293">
        <v>449</v>
      </c>
      <c r="K180" s="15"/>
      <c r="L180"/>
    </row>
    <row r="181" spans="1:13" ht="21.6" customHeight="1" thickTop="1" thickBot="1" x14ac:dyDescent="0.25">
      <c r="A181" s="297" t="s">
        <v>655</v>
      </c>
      <c r="B181" s="1503" t="s">
        <v>656</v>
      </c>
      <c r="C181" s="1504"/>
      <c r="D181" s="1504"/>
      <c r="E181" s="1504"/>
      <c r="F181" s="1504"/>
      <c r="G181" s="1504"/>
      <c r="H181" s="291"/>
      <c r="I181" s="292">
        <f>I120</f>
        <v>0</v>
      </c>
      <c r="J181" s="293">
        <v>450</v>
      </c>
      <c r="K181"/>
      <c r="L181"/>
    </row>
    <row r="182" spans="1:13" ht="21.6" customHeight="1" thickTop="1" thickBot="1" x14ac:dyDescent="0.25">
      <c r="A182" s="297" t="s">
        <v>657</v>
      </c>
      <c r="B182" s="1503" t="s">
        <v>658</v>
      </c>
      <c r="C182" s="1504"/>
      <c r="D182" s="1504"/>
      <c r="E182" s="1504"/>
      <c r="F182" s="1504"/>
      <c r="G182" s="1504"/>
      <c r="H182" s="291"/>
      <c r="I182" s="292">
        <f>I121</f>
        <v>0</v>
      </c>
      <c r="J182" s="293">
        <v>452</v>
      </c>
      <c r="K182"/>
      <c r="L182"/>
    </row>
    <row r="183" spans="1:13" ht="21.6" customHeight="1" thickTop="1" thickBot="1" x14ac:dyDescent="0.25">
      <c r="A183" s="297" t="s">
        <v>659</v>
      </c>
      <c r="B183" s="1503" t="s">
        <v>660</v>
      </c>
      <c r="C183" s="1504"/>
      <c r="D183" s="1504"/>
      <c r="E183" s="1504"/>
      <c r="F183" s="1504"/>
      <c r="G183" s="1504"/>
      <c r="H183" s="291"/>
      <c r="I183" s="292">
        <f>I140</f>
        <v>0</v>
      </c>
      <c r="J183" s="293">
        <v>453</v>
      </c>
      <c r="K183"/>
      <c r="L183"/>
    </row>
    <row r="184" spans="1:13" ht="21.6" customHeight="1" thickTop="1" thickBot="1" x14ac:dyDescent="0.25">
      <c r="A184" s="297" t="s">
        <v>661</v>
      </c>
      <c r="B184" s="1503" t="s">
        <v>662</v>
      </c>
      <c r="C184" s="1504"/>
      <c r="D184" s="1504"/>
      <c r="E184" s="1504"/>
      <c r="F184" s="1504"/>
      <c r="G184" s="1504"/>
      <c r="H184" s="291"/>
      <c r="I184" s="292">
        <f>I153</f>
        <v>0</v>
      </c>
      <c r="J184" s="293">
        <v>454</v>
      </c>
      <c r="K184"/>
      <c r="L184"/>
    </row>
    <row r="185" spans="1:13" ht="21.6" customHeight="1" thickTop="1" thickBot="1" x14ac:dyDescent="0.25">
      <c r="A185" s="297" t="s">
        <v>663</v>
      </c>
      <c r="B185" s="1523" t="s">
        <v>664</v>
      </c>
      <c r="C185" s="1524"/>
      <c r="D185" s="1524"/>
      <c r="E185" s="1524"/>
      <c r="F185" s="1524"/>
      <c r="G185" s="1524"/>
      <c r="H185" s="291"/>
      <c r="I185" s="292">
        <f>I121+I153</f>
        <v>0</v>
      </c>
      <c r="J185" s="293">
        <v>455</v>
      </c>
      <c r="K185"/>
      <c r="L185"/>
    </row>
    <row r="186" spans="1:13" s="502" customFormat="1" ht="41.25" customHeight="1" thickTop="1" x14ac:dyDescent="0.25">
      <c r="A186" s="364" t="s">
        <v>552</v>
      </c>
      <c r="B186" s="1530" t="s">
        <v>665</v>
      </c>
      <c r="C186" s="1531"/>
      <c r="D186" s="1531"/>
      <c r="E186" s="1531"/>
      <c r="F186" s="1531"/>
      <c r="G186" s="1531"/>
      <c r="H186" s="231"/>
      <c r="I186" s="1326"/>
      <c r="J186" s="361"/>
      <c r="K186" s="510"/>
      <c r="L186" s="1327"/>
      <c r="M186" s="462"/>
    </row>
    <row r="187" spans="1:13" s="502" customFormat="1" ht="21.6" customHeight="1" x14ac:dyDescent="0.2">
      <c r="A187" s="366" t="s">
        <v>554</v>
      </c>
      <c r="B187" s="1527" t="s">
        <v>666</v>
      </c>
      <c r="C187" s="1535"/>
      <c r="D187" s="1535"/>
      <c r="E187" s="1535"/>
      <c r="F187" s="1535"/>
      <c r="G187" s="1535"/>
      <c r="H187" s="231"/>
      <c r="I187" s="164"/>
      <c r="J187" s="361">
        <v>456</v>
      </c>
      <c r="K187" s="510"/>
      <c r="L187" s="545" t="str">
        <f>IF(I187&gt;=0,"OK","ERROR")</f>
        <v>OK</v>
      </c>
      <c r="M187" s="462"/>
    </row>
    <row r="188" spans="1:13" s="502" customFormat="1" ht="21.6" customHeight="1" x14ac:dyDescent="0.2">
      <c r="A188" s="366" t="s">
        <v>559</v>
      </c>
      <c r="B188" s="1527" t="s">
        <v>667</v>
      </c>
      <c r="C188" s="1535"/>
      <c r="D188" s="1535"/>
      <c r="E188" s="1535"/>
      <c r="F188" s="1535"/>
      <c r="G188" s="1535"/>
      <c r="H188" s="231"/>
      <c r="I188" s="164"/>
      <c r="J188" s="361">
        <v>457</v>
      </c>
      <c r="K188" s="510"/>
      <c r="L188" s="545" t="str">
        <f>IF(I188&gt;=0,"OK","ERROR")</f>
        <v>OK</v>
      </c>
      <c r="M188" s="462"/>
    </row>
    <row r="189" spans="1:13" s="502" customFormat="1" ht="21.6" customHeight="1" thickBot="1" x14ac:dyDescent="0.25">
      <c r="A189" s="366" t="s">
        <v>1330</v>
      </c>
      <c r="B189" s="1527" t="s">
        <v>668</v>
      </c>
      <c r="C189" s="1535"/>
      <c r="D189" s="1535"/>
      <c r="E189" s="1535"/>
      <c r="F189" s="1535"/>
      <c r="G189" s="1535"/>
      <c r="H189" s="231"/>
      <c r="I189" s="365">
        <f>I187+I188</f>
        <v>0</v>
      </c>
      <c r="J189" s="361">
        <v>458</v>
      </c>
      <c r="K189" s="510"/>
      <c r="L189" s="545" t="str">
        <f>IF(I189&gt;=0,"OK","ERROR")</f>
        <v>OK</v>
      </c>
      <c r="M189" s="462"/>
    </row>
    <row r="190" spans="1:13" s="502" customFormat="1" ht="21.6" customHeight="1" thickTop="1" x14ac:dyDescent="0.2">
      <c r="A190" s="366" t="s">
        <v>563</v>
      </c>
      <c r="B190" s="1527" t="s">
        <v>669</v>
      </c>
      <c r="C190" s="1535"/>
      <c r="D190" s="1535"/>
      <c r="E190" s="1535"/>
      <c r="F190" s="1535"/>
      <c r="G190" s="1535"/>
      <c r="H190" s="231"/>
      <c r="I190" s="1336"/>
      <c r="J190" s="361">
        <v>459</v>
      </c>
      <c r="K190" s="510"/>
      <c r="L190" s="545" t="str">
        <f>IF(I190&gt;=0,"OK","ERROR")</f>
        <v>OK</v>
      </c>
      <c r="M190" s="462"/>
    </row>
    <row r="191" spans="1:13" s="502" customFormat="1" ht="21.6" customHeight="1" thickBot="1" x14ac:dyDescent="0.25">
      <c r="A191" s="366" t="s">
        <v>1331</v>
      </c>
      <c r="B191" s="1527" t="s">
        <v>670</v>
      </c>
      <c r="C191" s="1535"/>
      <c r="D191" s="1535"/>
      <c r="E191" s="1535"/>
      <c r="F191" s="1535"/>
      <c r="G191" s="1535"/>
      <c r="H191" s="231"/>
      <c r="I191" s="365">
        <f>I189+I190</f>
        <v>0</v>
      </c>
      <c r="J191" s="361">
        <v>460</v>
      </c>
      <c r="K191" s="510"/>
      <c r="L191" s="470" t="str">
        <f>IF(AND(I191&gt;=0,I191=I185-I486),"OK","ERROR")</f>
        <v>OK</v>
      </c>
      <c r="M191" s="462"/>
    </row>
    <row r="192" spans="1:13" ht="7.5" customHeight="1" thickTop="1" x14ac:dyDescent="0.2">
      <c r="A192" s="311"/>
      <c r="B192" s="1536"/>
      <c r="C192" s="1536"/>
      <c r="D192" s="1536"/>
      <c r="E192" s="1536"/>
      <c r="F192" s="1536"/>
      <c r="G192" s="1536"/>
      <c r="H192" s="312"/>
      <c r="I192" s="313"/>
      <c r="J192" s="221"/>
      <c r="K192" s="9"/>
      <c r="L192" s="285"/>
    </row>
    <row r="193" spans="1:14" ht="7.5" customHeight="1" x14ac:dyDescent="0.2">
      <c r="A193" s="304"/>
      <c r="B193" s="1506"/>
      <c r="C193" s="1506"/>
      <c r="D193" s="1506"/>
      <c r="E193" s="1506"/>
      <c r="F193" s="1506"/>
      <c r="G193" s="1506"/>
      <c r="H193" s="291"/>
      <c r="I193" s="314"/>
      <c r="J193" s="293"/>
      <c r="K193" s="15"/>
      <c r="L193" s="285"/>
    </row>
    <row r="194" spans="1:14" ht="42.75" customHeight="1" thickBot="1" x14ac:dyDescent="0.3">
      <c r="A194" s="290" t="s">
        <v>671</v>
      </c>
      <c r="B194" s="1495" t="s">
        <v>672</v>
      </c>
      <c r="C194" s="1532"/>
      <c r="D194" s="1532"/>
      <c r="E194" s="1532"/>
      <c r="F194" s="1532"/>
      <c r="G194" s="1532"/>
      <c r="H194" s="291"/>
      <c r="I194" s="292">
        <f>I195+I262+I265+I285+I289+I293+I290+I291+I292+I297</f>
        <v>0</v>
      </c>
      <c r="J194" s="293">
        <v>93</v>
      </c>
      <c r="K194" s="15"/>
      <c r="L194" s="294" t="str">
        <f>IF(I194&gt;0,"OK","ERROR")</f>
        <v>ERROR</v>
      </c>
    </row>
    <row r="195" spans="1:14" ht="41.25" customHeight="1" thickTop="1" thickBot="1" x14ac:dyDescent="0.3">
      <c r="A195" s="295" t="s">
        <v>673</v>
      </c>
      <c r="B195" s="1519" t="s">
        <v>674</v>
      </c>
      <c r="C195" s="1520"/>
      <c r="D195" s="1520"/>
      <c r="E195" s="1520"/>
      <c r="F195" s="1520"/>
      <c r="G195" s="1520"/>
      <c r="H195" s="291"/>
      <c r="I195" s="292">
        <f>I196+I217+I244+I249+I252+I253+I257</f>
        <v>0</v>
      </c>
      <c r="J195" s="293">
        <v>94</v>
      </c>
      <c r="K195" s="15"/>
      <c r="L195" s="294" t="str">
        <f>IF(I195&gt;0,"OK","ERROR")</f>
        <v>ERROR</v>
      </c>
    </row>
    <row r="196" spans="1:14" ht="21.6" customHeight="1" thickTop="1" thickBot="1" x14ac:dyDescent="0.25">
      <c r="A196" s="298" t="s">
        <v>675</v>
      </c>
      <c r="B196" s="1503" t="s">
        <v>676</v>
      </c>
      <c r="C196" s="1504"/>
      <c r="D196" s="1504"/>
      <c r="E196" s="1504"/>
      <c r="F196" s="1504"/>
      <c r="G196" s="1504"/>
      <c r="H196" s="291"/>
      <c r="I196" s="292">
        <f>I197</f>
        <v>0</v>
      </c>
      <c r="J196" s="326">
        <v>95</v>
      </c>
      <c r="K196" s="15"/>
      <c r="L196" s="327" t="str">
        <f>IF(I196&gt;=0,"OK","ERROR")</f>
        <v>OK</v>
      </c>
    </row>
    <row r="197" spans="1:14" s="502" customFormat="1" ht="21.6" customHeight="1" thickTop="1" thickBot="1" x14ac:dyDescent="0.25">
      <c r="A197" s="366" t="s">
        <v>677</v>
      </c>
      <c r="B197" s="1494" t="s">
        <v>678</v>
      </c>
      <c r="C197" s="1517"/>
      <c r="D197" s="1517"/>
      <c r="E197" s="1517"/>
      <c r="F197" s="1517"/>
      <c r="G197" s="1517"/>
      <c r="H197" s="231"/>
      <c r="I197" s="365">
        <f>I203+I204+I207+I208+I209+I210+I211</f>
        <v>0</v>
      </c>
      <c r="J197" s="361">
        <v>96</v>
      </c>
      <c r="K197" s="510"/>
      <c r="L197" s="545" t="str">
        <f>IF(I197&gt;=0,"OK","ERROR")</f>
        <v>OK</v>
      </c>
      <c r="M197" s="462"/>
    </row>
    <row r="198" spans="1:14" s="502" customFormat="1" ht="21.6" customHeight="1" thickTop="1" thickBot="1" x14ac:dyDescent="0.25">
      <c r="A198" s="366"/>
      <c r="B198" s="1533" t="s">
        <v>679</v>
      </c>
      <c r="C198" s="1534"/>
      <c r="D198" s="1534"/>
      <c r="E198" s="1534"/>
      <c r="F198" s="1534"/>
      <c r="G198" s="1534"/>
      <c r="H198" s="231"/>
      <c r="I198" s="365"/>
      <c r="J198" s="361"/>
      <c r="K198" s="510"/>
      <c r="L198" s="545"/>
      <c r="M198" s="462"/>
      <c r="N198" s="546"/>
    </row>
    <row r="199" spans="1:14" s="502" customFormat="1" ht="21.6" customHeight="1" thickTop="1" thickBot="1" x14ac:dyDescent="0.25">
      <c r="A199" s="366" t="s">
        <v>680</v>
      </c>
      <c r="B199" s="1533" t="s">
        <v>681</v>
      </c>
      <c r="C199" s="1534"/>
      <c r="D199" s="1534"/>
      <c r="E199" s="1534"/>
      <c r="F199" s="1534"/>
      <c r="G199" s="1534"/>
      <c r="H199" s="231"/>
      <c r="I199" s="365">
        <v>0</v>
      </c>
      <c r="J199" s="361">
        <v>97</v>
      </c>
      <c r="K199" s="510"/>
      <c r="L199" s="545" t="str">
        <f>IF(AND(I199&gt;=0,I199&lt;=$I$197),"OK","ERROR")</f>
        <v>OK</v>
      </c>
      <c r="M199" s="462"/>
      <c r="N199" s="546" t="s">
        <v>682</v>
      </c>
    </row>
    <row r="200" spans="1:14" s="502" customFormat="1" ht="21.6" customHeight="1" thickTop="1" thickBot="1" x14ac:dyDescent="0.25">
      <c r="A200" s="366" t="s">
        <v>683</v>
      </c>
      <c r="B200" s="1534" t="s">
        <v>684</v>
      </c>
      <c r="C200" s="1534"/>
      <c r="D200" s="1534"/>
      <c r="E200" s="1534"/>
      <c r="F200" s="1534"/>
      <c r="G200" s="1534"/>
      <c r="H200" s="231"/>
      <c r="I200" s="365">
        <v>0</v>
      </c>
      <c r="J200" s="361">
        <v>99</v>
      </c>
      <c r="K200" s="510"/>
      <c r="L200" s="545" t="str">
        <f>IF(AND(I200&gt;=0,I200&lt;=$I$197),"OK","ERROR")</f>
        <v>OK</v>
      </c>
      <c r="M200" s="462"/>
      <c r="N200" s="546" t="s">
        <v>685</v>
      </c>
    </row>
    <row r="201" spans="1:14" s="502" customFormat="1" ht="21.6" customHeight="1" thickTop="1" thickBot="1" x14ac:dyDescent="0.25">
      <c r="A201" s="366" t="s">
        <v>686</v>
      </c>
      <c r="B201" s="1534" t="s">
        <v>687</v>
      </c>
      <c r="C201" s="1534"/>
      <c r="D201" s="1534"/>
      <c r="E201" s="1534"/>
      <c r="F201" s="1534"/>
      <c r="G201" s="1534"/>
      <c r="H201" s="231"/>
      <c r="I201" s="365">
        <v>0</v>
      </c>
      <c r="J201" s="361">
        <v>100</v>
      </c>
      <c r="K201" s="510"/>
      <c r="L201" s="545" t="str">
        <f>IF(AND(I201&gt;=0,I201&lt;=$I$197),"OK","ERROR")</f>
        <v>OK</v>
      </c>
      <c r="M201" s="462"/>
      <c r="N201" s="546" t="s">
        <v>688</v>
      </c>
    </row>
    <row r="202" spans="1:14" s="502" customFormat="1" ht="21.6" customHeight="1" thickTop="1" thickBot="1" x14ac:dyDescent="0.25">
      <c r="A202" s="366" t="s">
        <v>689</v>
      </c>
      <c r="B202" s="1537" t="s">
        <v>690</v>
      </c>
      <c r="C202" s="1537"/>
      <c r="D202" s="1537"/>
      <c r="E202" s="1537"/>
      <c r="F202" s="1537"/>
      <c r="G202" s="1537"/>
      <c r="H202" s="231"/>
      <c r="I202" s="365">
        <v>0</v>
      </c>
      <c r="J202" s="361">
        <v>101</v>
      </c>
      <c r="K202" s="462"/>
      <c r="L202" s="545" t="str">
        <f>IF(AND(I202&gt;=0,I202&lt;=$I$197),"OK","ERROR")</f>
        <v>OK</v>
      </c>
      <c r="M202" s="462"/>
      <c r="N202" s="546" t="s">
        <v>691</v>
      </c>
    </row>
    <row r="203" spans="1:14" ht="35.85" customHeight="1" thickTop="1" thickBot="1" x14ac:dyDescent="0.25">
      <c r="A203" s="298" t="s">
        <v>692</v>
      </c>
      <c r="B203" s="1503" t="s">
        <v>693</v>
      </c>
      <c r="C203" s="1504"/>
      <c r="D203" s="1504"/>
      <c r="E203" s="1504"/>
      <c r="F203" s="1504"/>
      <c r="G203" s="1504"/>
      <c r="H203" s="291"/>
      <c r="I203" s="292">
        <v>0</v>
      </c>
      <c r="J203" s="293">
        <v>102</v>
      </c>
      <c r="K203" s="15"/>
      <c r="L203" s="294" t="str">
        <f t="shared" ref="L203:L210" si="5">IF(I203&gt;=0,"OK","ERROR")</f>
        <v>OK</v>
      </c>
      <c r="N203" s="214" t="s">
        <v>694</v>
      </c>
    </row>
    <row r="204" spans="1:14" ht="21.6" customHeight="1" thickTop="1" thickBot="1" x14ac:dyDescent="0.25">
      <c r="A204" s="297" t="s">
        <v>695</v>
      </c>
      <c r="B204" s="1504" t="s">
        <v>696</v>
      </c>
      <c r="C204" s="1504"/>
      <c r="D204" s="1504"/>
      <c r="E204" s="1504"/>
      <c r="F204" s="1504"/>
      <c r="G204" s="1504"/>
      <c r="H204" s="291"/>
      <c r="I204" s="292">
        <f>SUM(I205:I206)</f>
        <v>0</v>
      </c>
      <c r="J204" s="293">
        <v>104</v>
      </c>
      <c r="K204" s="15"/>
      <c r="L204" s="294" t="str">
        <f t="shared" si="5"/>
        <v>OK</v>
      </c>
      <c r="N204" s="214"/>
    </row>
    <row r="205" spans="1:14" ht="35.85" customHeight="1" thickTop="1" thickBot="1" x14ac:dyDescent="0.25">
      <c r="A205" s="298" t="s">
        <v>697</v>
      </c>
      <c r="B205" s="1503" t="s">
        <v>698</v>
      </c>
      <c r="C205" s="1504"/>
      <c r="D205" s="1504"/>
      <c r="E205" s="1504"/>
      <c r="F205" s="1504"/>
      <c r="G205" s="1504"/>
      <c r="H205" s="291"/>
      <c r="I205" s="292">
        <v>0</v>
      </c>
      <c r="J205" s="293">
        <v>105</v>
      </c>
      <c r="K205" s="15"/>
      <c r="L205" s="294" t="str">
        <f t="shared" si="5"/>
        <v>OK</v>
      </c>
      <c r="N205" s="214" t="s">
        <v>699</v>
      </c>
    </row>
    <row r="206" spans="1:14" s="502" customFormat="1" ht="35.85" customHeight="1" thickTop="1" thickBot="1" x14ac:dyDescent="0.25">
      <c r="A206" s="547" t="s">
        <v>700</v>
      </c>
      <c r="B206" s="1527" t="s">
        <v>701</v>
      </c>
      <c r="C206" s="1527"/>
      <c r="D206" s="1527"/>
      <c r="E206" s="1527"/>
      <c r="F206" s="1527"/>
      <c r="G206" s="1527"/>
      <c r="H206" s="231"/>
      <c r="I206" s="365">
        <v>0</v>
      </c>
      <c r="J206" s="361">
        <v>107</v>
      </c>
      <c r="K206" s="510"/>
      <c r="L206" s="545" t="str">
        <f t="shared" si="5"/>
        <v>OK</v>
      </c>
      <c r="M206" s="462"/>
      <c r="N206" s="546" t="s">
        <v>702</v>
      </c>
    </row>
    <row r="207" spans="1:14" ht="35.85" customHeight="1" thickTop="1" thickBot="1" x14ac:dyDescent="0.25">
      <c r="A207" s="328" t="s">
        <v>703</v>
      </c>
      <c r="B207" s="1503" t="s">
        <v>704</v>
      </c>
      <c r="C207" s="1504"/>
      <c r="D207" s="1504"/>
      <c r="E207" s="1504"/>
      <c r="F207" s="1504"/>
      <c r="G207" s="1504"/>
      <c r="H207" s="291"/>
      <c r="I207" s="292">
        <v>0</v>
      </c>
      <c r="J207" s="293">
        <v>109</v>
      </c>
      <c r="K207" s="15"/>
      <c r="L207" s="294" t="str">
        <f t="shared" si="5"/>
        <v>OK</v>
      </c>
      <c r="N207" s="214" t="s">
        <v>705</v>
      </c>
    </row>
    <row r="208" spans="1:14" ht="35.85" customHeight="1" thickTop="1" thickBot="1" x14ac:dyDescent="0.25">
      <c r="A208" s="328" t="s">
        <v>706</v>
      </c>
      <c r="B208" s="1503" t="s">
        <v>707</v>
      </c>
      <c r="C208" s="1504"/>
      <c r="D208" s="1504"/>
      <c r="E208" s="1504"/>
      <c r="F208" s="1504"/>
      <c r="G208" s="1504"/>
      <c r="H208" s="291"/>
      <c r="I208" s="292">
        <v>0</v>
      </c>
      <c r="J208" s="293">
        <v>111</v>
      </c>
      <c r="K208" s="15"/>
      <c r="L208" s="294" t="str">
        <f t="shared" si="5"/>
        <v>OK</v>
      </c>
      <c r="N208" s="214" t="s">
        <v>708</v>
      </c>
    </row>
    <row r="209" spans="1:14" ht="35.85" customHeight="1" thickTop="1" thickBot="1" x14ac:dyDescent="0.25">
      <c r="A209" s="328" t="s">
        <v>1652</v>
      </c>
      <c r="B209" s="1503" t="s">
        <v>709</v>
      </c>
      <c r="C209" s="1504"/>
      <c r="D209" s="1504"/>
      <c r="E209" s="1504"/>
      <c r="F209" s="1504"/>
      <c r="G209" s="1504"/>
      <c r="H209" s="291"/>
      <c r="I209" s="292">
        <v>0</v>
      </c>
      <c r="J209" s="293">
        <v>113</v>
      </c>
      <c r="K209" s="15"/>
      <c r="L209" s="294" t="str">
        <f t="shared" si="5"/>
        <v>OK</v>
      </c>
      <c r="N209" s="214" t="s">
        <v>710</v>
      </c>
    </row>
    <row r="210" spans="1:14" ht="35.85" customHeight="1" thickTop="1" thickBot="1" x14ac:dyDescent="0.25">
      <c r="A210" s="328" t="s">
        <v>703</v>
      </c>
      <c r="B210" s="1503" t="s">
        <v>711</v>
      </c>
      <c r="C210" s="1504"/>
      <c r="D210" s="1504"/>
      <c r="E210" s="1504"/>
      <c r="F210" s="1504"/>
      <c r="G210" s="1504"/>
      <c r="H210" s="291"/>
      <c r="I210" s="292">
        <v>0</v>
      </c>
      <c r="J210" s="293">
        <v>115</v>
      </c>
      <c r="K210" s="15"/>
      <c r="L210" s="294" t="str">
        <f t="shared" si="5"/>
        <v>OK</v>
      </c>
      <c r="N210" s="214" t="s">
        <v>712</v>
      </c>
    </row>
    <row r="211" spans="1:14" s="502" customFormat="1" ht="35.85" customHeight="1" thickTop="1" thickBot="1" x14ac:dyDescent="0.25">
      <c r="A211" s="359" t="s">
        <v>706</v>
      </c>
      <c r="B211" s="1538" t="s">
        <v>713</v>
      </c>
      <c r="C211" s="1538"/>
      <c r="D211" s="1538"/>
      <c r="E211" s="1538"/>
      <c r="F211" s="1538"/>
      <c r="G211" s="1538"/>
      <c r="H211" s="231"/>
      <c r="I211" s="365">
        <f>SUM(I212:I215)</f>
        <v>0</v>
      </c>
      <c r="J211" s="361">
        <v>585</v>
      </c>
      <c r="K211" s="510"/>
      <c r="L211" s="462"/>
      <c r="M211" s="462"/>
      <c r="N211" s="546"/>
    </row>
    <row r="212" spans="1:14" s="502" customFormat="1" ht="21.6" customHeight="1" thickTop="1" thickBot="1" x14ac:dyDescent="0.25">
      <c r="A212" s="547" t="s">
        <v>1662</v>
      </c>
      <c r="B212" s="1538" t="s">
        <v>714</v>
      </c>
      <c r="C212" s="1538"/>
      <c r="D212" s="1538"/>
      <c r="E212" s="1538"/>
      <c r="F212" s="1538"/>
      <c r="G212" s="1538"/>
      <c r="H212" s="231"/>
      <c r="I212" s="365">
        <v>0</v>
      </c>
      <c r="J212" s="361">
        <v>586</v>
      </c>
      <c r="K212" s="510"/>
      <c r="L212" s="462"/>
      <c r="M212" s="462"/>
      <c r="N212" s="546" t="s">
        <v>715</v>
      </c>
    </row>
    <row r="213" spans="1:14" s="502" customFormat="1" ht="21.6" customHeight="1" thickTop="1" thickBot="1" x14ac:dyDescent="0.25">
      <c r="A213" s="547" t="s">
        <v>1663</v>
      </c>
      <c r="B213" s="1538" t="s">
        <v>716</v>
      </c>
      <c r="C213" s="1538"/>
      <c r="D213" s="1538"/>
      <c r="E213" s="1538"/>
      <c r="F213" s="1538"/>
      <c r="G213" s="1538"/>
      <c r="H213" s="231"/>
      <c r="I213" s="365">
        <v>0</v>
      </c>
      <c r="J213" s="361">
        <v>587</v>
      </c>
      <c r="K213" s="510"/>
      <c r="L213" s="462"/>
      <c r="M213" s="462"/>
      <c r="N213" s="546" t="s">
        <v>717</v>
      </c>
    </row>
    <row r="214" spans="1:14" s="502" customFormat="1" ht="21.6" customHeight="1" thickTop="1" thickBot="1" x14ac:dyDescent="0.25">
      <c r="A214" s="547" t="s">
        <v>1664</v>
      </c>
      <c r="B214" s="1538" t="s">
        <v>718</v>
      </c>
      <c r="C214" s="1538"/>
      <c r="D214" s="1538"/>
      <c r="E214" s="1538"/>
      <c r="F214" s="1538"/>
      <c r="G214" s="1538"/>
      <c r="H214" s="231"/>
      <c r="I214" s="365">
        <v>0</v>
      </c>
      <c r="J214" s="361">
        <v>588</v>
      </c>
      <c r="K214" s="510"/>
      <c r="L214" s="462"/>
      <c r="M214" s="462"/>
      <c r="N214" s="546" t="s">
        <v>719</v>
      </c>
    </row>
    <row r="215" spans="1:14" s="502" customFormat="1" ht="21.6" customHeight="1" thickTop="1" thickBot="1" x14ac:dyDescent="0.25">
      <c r="A215" s="547" t="s">
        <v>1665</v>
      </c>
      <c r="B215" s="1538" t="s">
        <v>720</v>
      </c>
      <c r="C215" s="1538"/>
      <c r="D215" s="1538"/>
      <c r="E215" s="1538"/>
      <c r="F215" s="1538"/>
      <c r="G215" s="1538"/>
      <c r="H215" s="231"/>
      <c r="I215" s="365">
        <v>0</v>
      </c>
      <c r="J215" s="361">
        <v>589</v>
      </c>
      <c r="K215" s="510"/>
      <c r="L215" s="462"/>
      <c r="M215" s="462"/>
      <c r="N215" s="546" t="s">
        <v>721</v>
      </c>
    </row>
    <row r="216" spans="1:14" customFormat="1" ht="21.6" hidden="1" customHeight="1" thickTop="1" x14ac:dyDescent="0.2">
      <c r="A216" s="329"/>
      <c r="B216" s="1539"/>
      <c r="C216" s="1539"/>
      <c r="D216" s="1539"/>
      <c r="E216" s="1539"/>
      <c r="F216" s="1539"/>
      <c r="G216" s="1539"/>
      <c r="H216" s="157"/>
      <c r="I216" s="330"/>
      <c r="J216" s="293"/>
    </row>
    <row r="217" spans="1:14" ht="35.85" customHeight="1" thickTop="1" thickBot="1" x14ac:dyDescent="0.25">
      <c r="A217" s="328" t="s">
        <v>722</v>
      </c>
      <c r="B217" s="1523" t="s">
        <v>723</v>
      </c>
      <c r="C217" s="1524"/>
      <c r="D217" s="1524"/>
      <c r="E217" s="1524"/>
      <c r="F217" s="1524"/>
      <c r="G217" s="1524"/>
      <c r="H217" s="291"/>
      <c r="I217" s="292">
        <f>I218+I227+I240</f>
        <v>0</v>
      </c>
      <c r="J217" s="293">
        <v>119</v>
      </c>
      <c r="K217" s="15"/>
      <c r="L217" s="294" t="str">
        <f t="shared" ref="L217:L241" si="6">IF(I217&gt;=0,"OK","ERROR")</f>
        <v>OK</v>
      </c>
    </row>
    <row r="218" spans="1:14" ht="21.6" customHeight="1" thickTop="1" thickBot="1" x14ac:dyDescent="0.25">
      <c r="A218" s="328" t="s">
        <v>724</v>
      </c>
      <c r="B218" s="1498" t="s">
        <v>725</v>
      </c>
      <c r="C218" s="1499"/>
      <c r="D218" s="1499"/>
      <c r="E218" s="1499"/>
      <c r="F218" s="1499"/>
      <c r="G218" s="1499"/>
      <c r="H218" s="291"/>
      <c r="I218" s="292">
        <f>I219*1.06</f>
        <v>0</v>
      </c>
      <c r="J218" s="293">
        <v>122</v>
      </c>
      <c r="K218" s="15"/>
      <c r="L218" s="294" t="str">
        <f t="shared" si="6"/>
        <v>OK</v>
      </c>
    </row>
    <row r="219" spans="1:14" s="502" customFormat="1" ht="35.85" customHeight="1" thickTop="1" thickBot="1" x14ac:dyDescent="0.25">
      <c r="A219" s="547" t="s">
        <v>726</v>
      </c>
      <c r="B219" s="1527" t="s">
        <v>727</v>
      </c>
      <c r="C219" s="1527"/>
      <c r="D219" s="1527"/>
      <c r="E219" s="1527"/>
      <c r="F219" s="1527"/>
      <c r="G219" s="1527"/>
      <c r="H219" s="231"/>
      <c r="I219" s="365">
        <f>I220+I221+I224</f>
        <v>0</v>
      </c>
      <c r="J219" s="361">
        <v>123</v>
      </c>
      <c r="K219" s="510"/>
      <c r="L219" s="545" t="str">
        <f t="shared" si="6"/>
        <v>OK</v>
      </c>
      <c r="M219" s="462"/>
    </row>
    <row r="220" spans="1:14" ht="21.6" customHeight="1" thickTop="1" x14ac:dyDescent="0.2">
      <c r="A220" s="331" t="s">
        <v>728</v>
      </c>
      <c r="B220" s="1499" t="s">
        <v>729</v>
      </c>
      <c r="C220" s="1499"/>
      <c r="D220" s="1499"/>
      <c r="E220" s="1499"/>
      <c r="F220" s="1499"/>
      <c r="G220" s="1499"/>
      <c r="H220" s="291"/>
      <c r="I220" s="245"/>
      <c r="J220" s="293">
        <v>124</v>
      </c>
      <c r="K220" s="15"/>
      <c r="L220" s="294" t="str">
        <f t="shared" si="6"/>
        <v>OK</v>
      </c>
    </row>
    <row r="221" spans="1:14" s="502" customFormat="1" ht="21.6" customHeight="1" thickBot="1" x14ac:dyDescent="0.25">
      <c r="A221" s="550" t="s">
        <v>730</v>
      </c>
      <c r="B221" s="1517" t="s">
        <v>731</v>
      </c>
      <c r="C221" s="1517"/>
      <c r="D221" s="1517"/>
      <c r="E221" s="1517"/>
      <c r="F221" s="1517"/>
      <c r="G221" s="1517"/>
      <c r="H221" s="231"/>
      <c r="I221" s="365">
        <f>SUM(I222:I223)</f>
        <v>0</v>
      </c>
      <c r="J221" s="361">
        <v>125</v>
      </c>
      <c r="K221" s="510"/>
      <c r="L221" s="545" t="str">
        <f t="shared" si="6"/>
        <v>OK</v>
      </c>
      <c r="M221" s="462"/>
    </row>
    <row r="222" spans="1:14" ht="21.6" customHeight="1" thickTop="1" x14ac:dyDescent="0.2">
      <c r="A222" s="331" t="s">
        <v>732</v>
      </c>
      <c r="B222" s="1499" t="s">
        <v>733</v>
      </c>
      <c r="C222" s="1499"/>
      <c r="D222" s="1499"/>
      <c r="E222" s="1499"/>
      <c r="F222" s="1499"/>
      <c r="G222" s="1499"/>
      <c r="H222" s="291"/>
      <c r="I222" s="245"/>
      <c r="J222" s="293">
        <v>126</v>
      </c>
      <c r="K222" s="15"/>
      <c r="L222" s="294" t="str">
        <f t="shared" si="6"/>
        <v>OK</v>
      </c>
    </row>
    <row r="223" spans="1:14" ht="21.6" customHeight="1" x14ac:dyDescent="0.2">
      <c r="A223" s="331" t="s">
        <v>734</v>
      </c>
      <c r="B223" s="1499" t="s">
        <v>735</v>
      </c>
      <c r="C223" s="1499"/>
      <c r="D223" s="1499"/>
      <c r="E223" s="1499"/>
      <c r="F223" s="1499"/>
      <c r="G223" s="1499"/>
      <c r="H223" s="291"/>
      <c r="I223" s="245"/>
      <c r="J223" s="293">
        <v>127</v>
      </c>
      <c r="K223" s="15"/>
      <c r="L223" s="294" t="str">
        <f t="shared" si="6"/>
        <v>OK</v>
      </c>
    </row>
    <row r="224" spans="1:14" ht="21.6" customHeight="1" thickBot="1" x14ac:dyDescent="0.25">
      <c r="A224" s="331" t="s">
        <v>736</v>
      </c>
      <c r="B224" s="1499" t="s">
        <v>737</v>
      </c>
      <c r="C224" s="1499"/>
      <c r="D224" s="1499"/>
      <c r="E224" s="1499"/>
      <c r="F224" s="1499"/>
      <c r="G224" s="1499"/>
      <c r="H224" s="291"/>
      <c r="I224" s="292">
        <f>SUM(I225:I226)</f>
        <v>0</v>
      </c>
      <c r="J224" s="293">
        <v>128</v>
      </c>
      <c r="K224" s="15"/>
      <c r="L224" s="294" t="str">
        <f t="shared" si="6"/>
        <v>OK</v>
      </c>
    </row>
    <row r="225" spans="1:13" ht="21.6" customHeight="1" thickTop="1" x14ac:dyDescent="0.2">
      <c r="A225" s="331" t="s">
        <v>738</v>
      </c>
      <c r="B225" s="1499" t="s">
        <v>739</v>
      </c>
      <c r="C225" s="1499"/>
      <c r="D225" s="1499"/>
      <c r="E225" s="1499"/>
      <c r="F225" s="1499"/>
      <c r="G225" s="1499"/>
      <c r="H225" s="291"/>
      <c r="I225" s="245"/>
      <c r="J225" s="293">
        <v>129</v>
      </c>
      <c r="K225" s="15"/>
      <c r="L225" s="294" t="str">
        <f t="shared" si="6"/>
        <v>OK</v>
      </c>
    </row>
    <row r="226" spans="1:13" ht="21.6" customHeight="1" x14ac:dyDescent="0.2">
      <c r="A226" s="331" t="s">
        <v>740</v>
      </c>
      <c r="B226" s="1499" t="s">
        <v>741</v>
      </c>
      <c r="C226" s="1499"/>
      <c r="D226" s="1499"/>
      <c r="E226" s="1499"/>
      <c r="F226" s="1499"/>
      <c r="G226" s="1499"/>
      <c r="H226" s="291"/>
      <c r="I226" s="245"/>
      <c r="J226" s="293">
        <v>130</v>
      </c>
      <c r="K226" s="15"/>
      <c r="L226" s="294" t="str">
        <f t="shared" si="6"/>
        <v>OK</v>
      </c>
    </row>
    <row r="227" spans="1:13" ht="35.85" customHeight="1" thickBot="1" x14ac:dyDescent="0.25">
      <c r="A227" s="328" t="s">
        <v>742</v>
      </c>
      <c r="B227" s="1503" t="s">
        <v>743</v>
      </c>
      <c r="C227" s="1504"/>
      <c r="D227" s="1504"/>
      <c r="E227" s="1504"/>
      <c r="F227" s="1504"/>
      <c r="G227" s="1504"/>
      <c r="H227" s="291"/>
      <c r="I227" s="292">
        <f>I228*1.06</f>
        <v>0</v>
      </c>
      <c r="J227" s="293">
        <v>131</v>
      </c>
      <c r="K227" s="15"/>
      <c r="L227" s="294" t="str">
        <f t="shared" si="6"/>
        <v>OK</v>
      </c>
    </row>
    <row r="228" spans="1:13" s="502" customFormat="1" ht="35.85" customHeight="1" thickTop="1" thickBot="1" x14ac:dyDescent="0.25">
      <c r="A228" s="547" t="s">
        <v>744</v>
      </c>
      <c r="B228" s="1527" t="s">
        <v>745</v>
      </c>
      <c r="C228" s="1535"/>
      <c r="D228" s="1535"/>
      <c r="E228" s="1535"/>
      <c r="F228" s="1535"/>
      <c r="G228" s="1535"/>
      <c r="H228" s="231"/>
      <c r="I228" s="365">
        <f>I229+I230+I233+I236</f>
        <v>0</v>
      </c>
      <c r="J228" s="361">
        <v>132</v>
      </c>
      <c r="K228" s="510"/>
      <c r="L228" s="545" t="str">
        <f t="shared" si="6"/>
        <v>OK</v>
      </c>
      <c r="M228" s="462"/>
    </row>
    <row r="229" spans="1:13" ht="21.6" customHeight="1" thickTop="1" x14ac:dyDescent="0.2">
      <c r="A229" s="331" t="s">
        <v>746</v>
      </c>
      <c r="B229" s="1499" t="s">
        <v>747</v>
      </c>
      <c r="C229" s="1499"/>
      <c r="D229" s="1499"/>
      <c r="E229" s="1499"/>
      <c r="F229" s="1499"/>
      <c r="G229" s="1499"/>
      <c r="H229" s="291"/>
      <c r="I229" s="325"/>
      <c r="J229" s="293">
        <v>133</v>
      </c>
      <c r="K229" s="15"/>
      <c r="L229" s="294" t="str">
        <f t="shared" si="6"/>
        <v>OK</v>
      </c>
    </row>
    <row r="230" spans="1:13" s="502" customFormat="1" ht="21.6" customHeight="1" thickBot="1" x14ac:dyDescent="0.25">
      <c r="A230" s="550" t="s">
        <v>748</v>
      </c>
      <c r="B230" s="1517" t="s">
        <v>731</v>
      </c>
      <c r="C230" s="1517"/>
      <c r="D230" s="1517"/>
      <c r="E230" s="1517"/>
      <c r="F230" s="1517"/>
      <c r="G230" s="1517"/>
      <c r="H230" s="231"/>
      <c r="I230" s="365">
        <f>SUM(I231:I232)</f>
        <v>0</v>
      </c>
      <c r="J230" s="361">
        <v>134</v>
      </c>
      <c r="K230" s="510"/>
      <c r="L230" s="545" t="str">
        <f t="shared" si="6"/>
        <v>OK</v>
      </c>
      <c r="M230" s="462"/>
    </row>
    <row r="231" spans="1:13" ht="21.6" customHeight="1" thickTop="1" x14ac:dyDescent="0.2">
      <c r="A231" s="331" t="s">
        <v>749</v>
      </c>
      <c r="B231" s="1499" t="s">
        <v>733</v>
      </c>
      <c r="C231" s="1499"/>
      <c r="D231" s="1499"/>
      <c r="E231" s="1499"/>
      <c r="F231" s="1499"/>
      <c r="G231" s="1499"/>
      <c r="H231" s="291"/>
      <c r="I231" s="245"/>
      <c r="J231" s="293">
        <v>135</v>
      </c>
      <c r="K231" s="15"/>
      <c r="L231" s="294" t="str">
        <f t="shared" si="6"/>
        <v>OK</v>
      </c>
    </row>
    <row r="232" spans="1:13" ht="21.6" customHeight="1" x14ac:dyDescent="0.2">
      <c r="A232" s="331" t="s">
        <v>750</v>
      </c>
      <c r="B232" s="1499" t="s">
        <v>735</v>
      </c>
      <c r="C232" s="1499"/>
      <c r="D232" s="1499"/>
      <c r="E232" s="1499"/>
      <c r="F232" s="1499"/>
      <c r="G232" s="1499"/>
      <c r="H232" s="291"/>
      <c r="I232" s="245"/>
      <c r="J232" s="293">
        <v>136</v>
      </c>
      <c r="K232" s="15"/>
      <c r="L232" s="294" t="str">
        <f t="shared" si="6"/>
        <v>OK</v>
      </c>
    </row>
    <row r="233" spans="1:13" ht="21.6" customHeight="1" thickBot="1" x14ac:dyDescent="0.25">
      <c r="A233" s="331" t="s">
        <v>751</v>
      </c>
      <c r="B233" s="1499" t="s">
        <v>737</v>
      </c>
      <c r="C233" s="1499"/>
      <c r="D233" s="1499"/>
      <c r="E233" s="1499"/>
      <c r="F233" s="1499"/>
      <c r="G233" s="1499"/>
      <c r="H233" s="291"/>
      <c r="I233" s="292">
        <f>SUM(I234:I235)</f>
        <v>0</v>
      </c>
      <c r="J233" s="293">
        <v>137</v>
      </c>
      <c r="K233" s="15"/>
      <c r="L233" s="294" t="str">
        <f t="shared" si="6"/>
        <v>OK</v>
      </c>
    </row>
    <row r="234" spans="1:13" ht="21.6" customHeight="1" thickTop="1" x14ac:dyDescent="0.2">
      <c r="A234" s="331" t="s">
        <v>752</v>
      </c>
      <c r="B234" s="1499" t="s">
        <v>739</v>
      </c>
      <c r="C234" s="1499"/>
      <c r="D234" s="1499"/>
      <c r="E234" s="1499"/>
      <c r="F234" s="1499"/>
      <c r="G234" s="1499"/>
      <c r="H234" s="291"/>
      <c r="I234" s="245"/>
      <c r="J234" s="293">
        <v>138</v>
      </c>
      <c r="K234" s="15"/>
      <c r="L234" s="294" t="str">
        <f t="shared" si="6"/>
        <v>OK</v>
      </c>
    </row>
    <row r="235" spans="1:13" ht="21.6" customHeight="1" x14ac:dyDescent="0.2">
      <c r="A235" s="331" t="s">
        <v>753</v>
      </c>
      <c r="B235" s="1499" t="s">
        <v>741</v>
      </c>
      <c r="C235" s="1499"/>
      <c r="D235" s="1499"/>
      <c r="E235" s="1499"/>
      <c r="F235" s="1499"/>
      <c r="G235" s="1499"/>
      <c r="H235" s="291"/>
      <c r="I235" s="245"/>
      <c r="J235" s="293">
        <v>139</v>
      </c>
      <c r="K235" s="15"/>
      <c r="L235" s="294" t="str">
        <f t="shared" si="6"/>
        <v>OK</v>
      </c>
    </row>
    <row r="236" spans="1:13" ht="21.6" customHeight="1" thickBot="1" x14ac:dyDescent="0.25">
      <c r="A236" s="331" t="s">
        <v>754</v>
      </c>
      <c r="B236" s="1499" t="s">
        <v>755</v>
      </c>
      <c r="C236" s="1499"/>
      <c r="D236" s="1499"/>
      <c r="E236" s="1499"/>
      <c r="F236" s="1499"/>
      <c r="G236" s="1499"/>
      <c r="H236" s="291"/>
      <c r="I236" s="292">
        <f>SUM(I237:I239)</f>
        <v>0</v>
      </c>
      <c r="J236" s="293">
        <v>140</v>
      </c>
      <c r="K236" s="15"/>
      <c r="L236" s="294" t="str">
        <f t="shared" si="6"/>
        <v>OK</v>
      </c>
    </row>
    <row r="237" spans="1:13" ht="21.6" customHeight="1" thickTop="1" x14ac:dyDescent="0.2">
      <c r="A237" s="331" t="s">
        <v>756</v>
      </c>
      <c r="B237" s="1499" t="s">
        <v>757</v>
      </c>
      <c r="C237" s="1499"/>
      <c r="D237" s="1499"/>
      <c r="E237" s="1499"/>
      <c r="F237" s="1499"/>
      <c r="G237" s="1499"/>
      <c r="H237" s="291"/>
      <c r="I237" s="245"/>
      <c r="J237" s="293">
        <v>141</v>
      </c>
      <c r="K237" s="15"/>
      <c r="L237" s="294" t="str">
        <f t="shared" si="6"/>
        <v>OK</v>
      </c>
    </row>
    <row r="238" spans="1:13" ht="21.6" customHeight="1" x14ac:dyDescent="0.2">
      <c r="A238" s="331" t="s">
        <v>758</v>
      </c>
      <c r="B238" s="1499" t="s">
        <v>759</v>
      </c>
      <c r="C238" s="1499"/>
      <c r="D238" s="1499"/>
      <c r="E238" s="1499"/>
      <c r="F238" s="1499"/>
      <c r="G238" s="1499"/>
      <c r="H238" s="291"/>
      <c r="I238" s="245"/>
      <c r="J238" s="293">
        <v>142</v>
      </c>
      <c r="K238" s="15"/>
      <c r="L238" s="294" t="str">
        <f t="shared" si="6"/>
        <v>OK</v>
      </c>
    </row>
    <row r="239" spans="1:13" ht="21.6" customHeight="1" x14ac:dyDescent="0.2">
      <c r="A239" s="331" t="s">
        <v>760</v>
      </c>
      <c r="B239" s="1499" t="s">
        <v>761</v>
      </c>
      <c r="C239" s="1499"/>
      <c r="D239" s="1499"/>
      <c r="E239" s="1499"/>
      <c r="F239" s="1499"/>
      <c r="G239" s="1499"/>
      <c r="H239" s="291"/>
      <c r="I239" s="245"/>
      <c r="J239" s="293">
        <v>143</v>
      </c>
      <c r="K239" s="15"/>
      <c r="L239" s="294" t="str">
        <f t="shared" si="6"/>
        <v>OK</v>
      </c>
    </row>
    <row r="240" spans="1:13" s="502" customFormat="1" ht="21.6" customHeight="1" thickBot="1" x14ac:dyDescent="0.25">
      <c r="A240" s="550" t="s">
        <v>762</v>
      </c>
      <c r="B240" s="1517" t="s">
        <v>763</v>
      </c>
      <c r="C240" s="1517"/>
      <c r="D240" s="1517"/>
      <c r="E240" s="1517"/>
      <c r="F240" s="1517"/>
      <c r="G240" s="1517"/>
      <c r="H240" s="231"/>
      <c r="I240" s="365">
        <f>I241*1.06</f>
        <v>0</v>
      </c>
      <c r="J240" s="361">
        <v>144</v>
      </c>
      <c r="K240" s="510"/>
      <c r="L240" s="545" t="str">
        <f t="shared" si="6"/>
        <v>OK</v>
      </c>
      <c r="M240" s="462"/>
    </row>
    <row r="241" spans="1:13" s="502" customFormat="1" ht="21.6" customHeight="1" thickTop="1" x14ac:dyDescent="0.2">
      <c r="A241" s="550" t="s">
        <v>764</v>
      </c>
      <c r="B241" s="1517" t="s">
        <v>765</v>
      </c>
      <c r="C241" s="1517"/>
      <c r="D241" s="1517"/>
      <c r="E241" s="1517"/>
      <c r="F241" s="1517"/>
      <c r="G241" s="1517"/>
      <c r="H241" s="231"/>
      <c r="I241" s="164"/>
      <c r="J241" s="361">
        <v>145</v>
      </c>
      <c r="K241" s="510"/>
      <c r="L241" s="545" t="str">
        <f t="shared" si="6"/>
        <v>OK</v>
      </c>
      <c r="M241" s="462"/>
    </row>
    <row r="242" spans="1:13" customFormat="1" ht="21.6" hidden="1" customHeight="1" x14ac:dyDescent="0.2">
      <c r="A242" s="329"/>
      <c r="B242" s="1540"/>
      <c r="C242" s="1540"/>
      <c r="D242" s="1540"/>
      <c r="E242" s="1540"/>
      <c r="F242" s="1540"/>
      <c r="G242" s="1540"/>
      <c r="H242" s="157"/>
      <c r="I242" s="330"/>
      <c r="J242" s="293"/>
    </row>
    <row r="243" spans="1:13" customFormat="1" ht="21.6" hidden="1" customHeight="1" x14ac:dyDescent="0.2">
      <c r="A243" s="329"/>
      <c r="B243" s="1540"/>
      <c r="C243" s="1540"/>
      <c r="D243" s="1540"/>
      <c r="E243" s="1540"/>
      <c r="F243" s="1540"/>
      <c r="G243" s="1540"/>
      <c r="H243" s="157"/>
      <c r="I243" s="330"/>
      <c r="J243" s="293"/>
    </row>
    <row r="244" spans="1:13" ht="35.85" customHeight="1" thickBot="1" x14ac:dyDescent="0.25">
      <c r="A244" s="298" t="s">
        <v>766</v>
      </c>
      <c r="B244" s="1503" t="s">
        <v>767</v>
      </c>
      <c r="C244" s="1504"/>
      <c r="D244" s="1504"/>
      <c r="E244" s="1504"/>
      <c r="F244" s="1504"/>
      <c r="G244" s="1504"/>
      <c r="H244" s="291"/>
      <c r="I244" s="292">
        <f>SUM(I245:I246)</f>
        <v>0</v>
      </c>
      <c r="J244" s="293">
        <v>148</v>
      </c>
      <c r="K244" s="15"/>
      <c r="L244" s="294" t="str">
        <f>IF(I244&gt;=0,"OK","ERROR")</f>
        <v>OK</v>
      </c>
    </row>
    <row r="245" spans="1:13" ht="35.85" customHeight="1" thickTop="1" x14ac:dyDescent="0.2">
      <c r="A245" s="328" t="s">
        <v>768</v>
      </c>
      <c r="B245" s="1498" t="s">
        <v>769</v>
      </c>
      <c r="C245" s="1499"/>
      <c r="D245" s="1499"/>
      <c r="E245" s="1499"/>
      <c r="F245" s="1499"/>
      <c r="G245" s="1499"/>
      <c r="H245" s="291"/>
      <c r="I245" s="245"/>
      <c r="J245" s="293">
        <v>461</v>
      </c>
      <c r="K245" s="15"/>
      <c r="L245" s="294" t="str">
        <f>IF(I245&gt;=0,"OK","ERROR")</f>
        <v>OK</v>
      </c>
    </row>
    <row r="246" spans="1:13" ht="35.85" customHeight="1" x14ac:dyDescent="0.2">
      <c r="A246" s="328" t="s">
        <v>770</v>
      </c>
      <c r="B246" s="1498" t="s">
        <v>771</v>
      </c>
      <c r="C246" s="1499"/>
      <c r="D246" s="1499"/>
      <c r="E246" s="1499"/>
      <c r="F246" s="1499"/>
      <c r="G246" s="1499"/>
      <c r="H246" s="291"/>
      <c r="I246" s="245"/>
      <c r="J246" s="293">
        <v>462</v>
      </c>
      <c r="K246" s="15"/>
      <c r="L246" s="294" t="str">
        <f>IF(I246&gt;=0,"OK","ERROR")</f>
        <v>OK</v>
      </c>
    </row>
    <row r="247" spans="1:13" ht="7.5" customHeight="1" x14ac:dyDescent="0.2">
      <c r="A247" s="311"/>
      <c r="B247" s="1536"/>
      <c r="C247" s="1536"/>
      <c r="D247" s="1536"/>
      <c r="E247" s="1536"/>
      <c r="F247" s="1536"/>
      <c r="G247" s="1536"/>
      <c r="H247" s="312"/>
      <c r="I247" s="313"/>
      <c r="J247" s="221"/>
      <c r="K247" s="9"/>
      <c r="L247" s="285"/>
    </row>
    <row r="248" spans="1:13" ht="7.5" customHeight="1" x14ac:dyDescent="0.2">
      <c r="A248" s="304"/>
      <c r="B248" s="1506"/>
      <c r="C248" s="1506"/>
      <c r="D248" s="1506"/>
      <c r="E248" s="1506"/>
      <c r="F248" s="1506"/>
      <c r="G248" s="1506"/>
      <c r="H248" s="291"/>
      <c r="I248" s="314"/>
      <c r="J248" s="293"/>
      <c r="K248" s="15"/>
      <c r="L248" s="285"/>
    </row>
    <row r="249" spans="1:13" ht="35.85" customHeight="1" thickBot="1" x14ac:dyDescent="0.25">
      <c r="A249" s="298" t="s">
        <v>772</v>
      </c>
      <c r="B249" s="1523" t="s">
        <v>773</v>
      </c>
      <c r="C249" s="1524"/>
      <c r="D249" s="1524"/>
      <c r="E249" s="1524"/>
      <c r="F249" s="1524"/>
      <c r="G249" s="1524"/>
      <c r="H249" s="291"/>
      <c r="I249" s="292">
        <f>SUM(I250:I251)</f>
        <v>0</v>
      </c>
      <c r="J249" s="319">
        <v>463</v>
      </c>
      <c r="K249" s="15"/>
      <c r="L249" s="294" t="str">
        <f t="shared" ref="L249:L276" si="7">IF(I249&gt;=0,"OK","ERROR")</f>
        <v>OK</v>
      </c>
    </row>
    <row r="250" spans="1:13" ht="21.6" customHeight="1" thickTop="1" x14ac:dyDescent="0.2">
      <c r="A250" s="331" t="s">
        <v>774</v>
      </c>
      <c r="B250" s="1499" t="s">
        <v>775</v>
      </c>
      <c r="C250" s="1499"/>
      <c r="D250" s="1499"/>
      <c r="E250" s="1499"/>
      <c r="F250" s="1499"/>
      <c r="G250" s="1499"/>
      <c r="H250" s="291"/>
      <c r="I250" s="245"/>
      <c r="J250" s="293">
        <v>464</v>
      </c>
      <c r="K250" s="15"/>
      <c r="L250" s="294" t="str">
        <f t="shared" si="7"/>
        <v>OK</v>
      </c>
    </row>
    <row r="251" spans="1:13" ht="21.6" customHeight="1" x14ac:dyDescent="0.2">
      <c r="A251" s="331" t="s">
        <v>776</v>
      </c>
      <c r="B251" s="1499" t="s">
        <v>777</v>
      </c>
      <c r="C251" s="1499"/>
      <c r="D251" s="1499"/>
      <c r="E251" s="1499"/>
      <c r="F251" s="1499"/>
      <c r="G251" s="1499"/>
      <c r="H251" s="291"/>
      <c r="I251" s="245"/>
      <c r="J251" s="319">
        <v>465</v>
      </c>
      <c r="K251" s="15"/>
      <c r="L251" s="294" t="str">
        <f t="shared" si="7"/>
        <v>OK</v>
      </c>
    </row>
    <row r="252" spans="1:13" s="502" customFormat="1" ht="35.85" customHeight="1" x14ac:dyDescent="0.2">
      <c r="A252" s="359" t="s">
        <v>722</v>
      </c>
      <c r="B252" s="1494" t="s">
        <v>778</v>
      </c>
      <c r="C252" s="1517"/>
      <c r="D252" s="1517"/>
      <c r="E252" s="1517"/>
      <c r="F252" s="1517"/>
      <c r="G252" s="1517"/>
      <c r="H252" s="231"/>
      <c r="I252" s="164"/>
      <c r="J252" s="361">
        <v>466</v>
      </c>
      <c r="K252" s="510"/>
      <c r="L252" s="545" t="str">
        <f t="shared" si="7"/>
        <v>OK</v>
      </c>
      <c r="M252" s="462"/>
    </row>
    <row r="253" spans="1:13" ht="35.85" customHeight="1" thickBot="1" x14ac:dyDescent="0.25">
      <c r="A253" s="298" t="s">
        <v>1654</v>
      </c>
      <c r="B253" s="1523" t="s">
        <v>779</v>
      </c>
      <c r="C253" s="1524"/>
      <c r="D253" s="1524"/>
      <c r="E253" s="1524"/>
      <c r="F253" s="1524"/>
      <c r="G253" s="1524"/>
      <c r="H253" s="291"/>
      <c r="I253" s="292">
        <f>SUM(I254:I256)</f>
        <v>0</v>
      </c>
      <c r="J253" s="319">
        <v>467</v>
      </c>
      <c r="K253" s="15"/>
      <c r="L253" s="294" t="str">
        <f t="shared" si="7"/>
        <v>OK</v>
      </c>
    </row>
    <row r="254" spans="1:13" ht="21.6" customHeight="1" thickTop="1" x14ac:dyDescent="0.2">
      <c r="A254" s="331" t="s">
        <v>1655</v>
      </c>
      <c r="B254" s="1499" t="s">
        <v>780</v>
      </c>
      <c r="C254" s="1499"/>
      <c r="D254" s="1499"/>
      <c r="E254" s="1499"/>
      <c r="F254" s="1499"/>
      <c r="G254" s="1499"/>
      <c r="H254" s="291"/>
      <c r="I254" s="245"/>
      <c r="J254" s="293">
        <v>468</v>
      </c>
      <c r="K254" s="15"/>
      <c r="L254" s="294" t="str">
        <f t="shared" si="7"/>
        <v>OK</v>
      </c>
    </row>
    <row r="255" spans="1:13" ht="21.6" customHeight="1" x14ac:dyDescent="0.2">
      <c r="A255" s="331" t="s">
        <v>1656</v>
      </c>
      <c r="B255" s="1499" t="s">
        <v>781</v>
      </c>
      <c r="C255" s="1499"/>
      <c r="D255" s="1499"/>
      <c r="E255" s="1499"/>
      <c r="F255" s="1499"/>
      <c r="G255" s="1499"/>
      <c r="H255" s="291"/>
      <c r="I255" s="245"/>
      <c r="J255" s="319">
        <v>469</v>
      </c>
      <c r="K255" s="15"/>
      <c r="L255" s="294" t="str">
        <f t="shared" si="7"/>
        <v>OK</v>
      </c>
    </row>
    <row r="256" spans="1:13" ht="21.6" customHeight="1" x14ac:dyDescent="0.2">
      <c r="A256" s="331" t="s">
        <v>1657</v>
      </c>
      <c r="B256" s="1499" t="s">
        <v>782</v>
      </c>
      <c r="C256" s="1499"/>
      <c r="D256" s="1499"/>
      <c r="E256" s="1499"/>
      <c r="F256" s="1499"/>
      <c r="G256" s="1499"/>
      <c r="H256" s="291"/>
      <c r="I256" s="245"/>
      <c r="J256" s="293">
        <v>470</v>
      </c>
      <c r="K256" s="15"/>
      <c r="L256" s="294" t="str">
        <f t="shared" si="7"/>
        <v>OK</v>
      </c>
    </row>
    <row r="257" spans="1:14" ht="21.6" customHeight="1" thickBot="1" x14ac:dyDescent="0.25">
      <c r="A257" s="298" t="s">
        <v>1344</v>
      </c>
      <c r="B257" s="1523" t="s">
        <v>783</v>
      </c>
      <c r="C257" s="1524"/>
      <c r="D257" s="1524"/>
      <c r="E257" s="1524"/>
      <c r="F257" s="1524"/>
      <c r="G257" s="1524"/>
      <c r="H257" s="291"/>
      <c r="I257" s="292">
        <f>SUM(I258:I261)</f>
        <v>0</v>
      </c>
      <c r="J257" s="319">
        <v>601</v>
      </c>
      <c r="K257" s="15"/>
      <c r="L257" s="294" t="str">
        <f t="shared" si="7"/>
        <v>OK</v>
      </c>
    </row>
    <row r="258" spans="1:14" ht="21.6" customHeight="1" thickTop="1" x14ac:dyDescent="0.2">
      <c r="A258" s="331" t="s">
        <v>774</v>
      </c>
      <c r="B258" s="1541" t="s">
        <v>784</v>
      </c>
      <c r="C258" s="1541"/>
      <c r="D258" s="1541"/>
      <c r="E258" s="1541"/>
      <c r="F258" s="1541"/>
      <c r="G258" s="1541"/>
      <c r="H258" s="291"/>
      <c r="I258" s="245"/>
      <c r="J258" s="293">
        <v>602</v>
      </c>
      <c r="K258" s="15"/>
      <c r="L258" s="294" t="str">
        <f t="shared" si="7"/>
        <v>OK</v>
      </c>
      <c r="N258" s="214" t="s">
        <v>785</v>
      </c>
    </row>
    <row r="259" spans="1:14" ht="21.6" customHeight="1" x14ac:dyDescent="0.2">
      <c r="A259" s="331" t="s">
        <v>776</v>
      </c>
      <c r="B259" s="1541" t="s">
        <v>786</v>
      </c>
      <c r="C259" s="1541"/>
      <c r="D259" s="1541"/>
      <c r="E259" s="1541"/>
      <c r="F259" s="1541"/>
      <c r="G259" s="1541"/>
      <c r="H259" s="291"/>
      <c r="I259" s="245"/>
      <c r="J259" s="319">
        <v>603</v>
      </c>
      <c r="K259" s="15"/>
      <c r="L259" s="294" t="str">
        <f t="shared" si="7"/>
        <v>OK</v>
      </c>
      <c r="N259" s="214" t="s">
        <v>787</v>
      </c>
    </row>
    <row r="260" spans="1:14" ht="21.6" customHeight="1" x14ac:dyDescent="0.2">
      <c r="A260" s="331" t="s">
        <v>1390</v>
      </c>
      <c r="B260" s="1541" t="s">
        <v>788</v>
      </c>
      <c r="C260" s="1541"/>
      <c r="D260" s="1541"/>
      <c r="E260" s="1541"/>
      <c r="F260" s="1541"/>
      <c r="G260" s="1541"/>
      <c r="H260" s="291"/>
      <c r="I260" s="245"/>
      <c r="J260" s="293">
        <v>604</v>
      </c>
      <c r="K260" s="15"/>
      <c r="L260" s="294" t="str">
        <f t="shared" si="7"/>
        <v>OK</v>
      </c>
      <c r="N260" s="214" t="s">
        <v>789</v>
      </c>
    </row>
    <row r="261" spans="1:14" ht="21.6" customHeight="1" x14ac:dyDescent="0.2">
      <c r="A261" s="331" t="s">
        <v>1391</v>
      </c>
      <c r="B261" s="1541" t="s">
        <v>790</v>
      </c>
      <c r="C261" s="1541"/>
      <c r="D261" s="1541"/>
      <c r="E261" s="1541"/>
      <c r="F261" s="1541"/>
      <c r="G261" s="1541"/>
      <c r="H261" s="291"/>
      <c r="I261" s="245"/>
      <c r="J261" s="293">
        <v>605</v>
      </c>
      <c r="K261" s="15"/>
      <c r="L261" s="294" t="str">
        <f t="shared" si="7"/>
        <v>OK</v>
      </c>
      <c r="N261" s="214" t="s">
        <v>791</v>
      </c>
    </row>
    <row r="262" spans="1:14" s="502" customFormat="1" ht="41.25" customHeight="1" thickBot="1" x14ac:dyDescent="0.3">
      <c r="A262" s="364" t="s">
        <v>792</v>
      </c>
      <c r="B262" s="1543" t="s">
        <v>793</v>
      </c>
      <c r="C262" s="1544"/>
      <c r="D262" s="1544"/>
      <c r="E262" s="1544"/>
      <c r="F262" s="1544"/>
      <c r="G262" s="1544"/>
      <c r="H262" s="231"/>
      <c r="I262" s="365">
        <f>SUM(I263:I264)</f>
        <v>0</v>
      </c>
      <c r="J262" s="361">
        <v>149</v>
      </c>
      <c r="K262" s="510"/>
      <c r="L262" s="545" t="str">
        <f t="shared" si="7"/>
        <v>OK</v>
      </c>
      <c r="M262" s="462"/>
    </row>
    <row r="263" spans="1:14" s="502" customFormat="1" ht="21.6" customHeight="1" thickTop="1" x14ac:dyDescent="0.2">
      <c r="A263" s="366" t="s">
        <v>214</v>
      </c>
      <c r="B263" s="1535" t="s">
        <v>794</v>
      </c>
      <c r="C263" s="1535"/>
      <c r="D263" s="1535"/>
      <c r="E263" s="1535"/>
      <c r="F263" s="1535"/>
      <c r="G263" s="1535"/>
      <c r="H263" s="231"/>
      <c r="I263" s="164"/>
      <c r="J263" s="361">
        <v>471</v>
      </c>
      <c r="K263" s="510"/>
      <c r="L263" s="545" t="str">
        <f t="shared" si="7"/>
        <v>OK</v>
      </c>
      <c r="M263" s="462"/>
    </row>
    <row r="264" spans="1:14" s="502" customFormat="1" ht="21.6" customHeight="1" x14ac:dyDescent="0.2">
      <c r="A264" s="359" t="s">
        <v>216</v>
      </c>
      <c r="B264" s="1527" t="s">
        <v>795</v>
      </c>
      <c r="C264" s="1535"/>
      <c r="D264" s="1535"/>
      <c r="E264" s="1535"/>
      <c r="F264" s="1535"/>
      <c r="G264" s="1535"/>
      <c r="H264" s="231"/>
      <c r="I264" s="164"/>
      <c r="J264" s="361">
        <v>472</v>
      </c>
      <c r="K264" s="510"/>
      <c r="L264" s="545" t="str">
        <f t="shared" si="7"/>
        <v>OK</v>
      </c>
      <c r="M264" s="462"/>
    </row>
    <row r="265" spans="1:14" ht="41.25" customHeight="1" thickBot="1" x14ac:dyDescent="0.3">
      <c r="A265" s="295" t="s">
        <v>796</v>
      </c>
      <c r="B265" s="1519" t="s">
        <v>797</v>
      </c>
      <c r="C265" s="1520"/>
      <c r="D265" s="1520"/>
      <c r="E265" s="1520"/>
      <c r="F265" s="1520"/>
      <c r="G265" s="1520"/>
      <c r="H265" s="291"/>
      <c r="I265" s="292">
        <f>I266+I284</f>
        <v>0</v>
      </c>
      <c r="J265" s="293">
        <v>155</v>
      </c>
      <c r="K265" s="15"/>
      <c r="L265" s="294" t="str">
        <f t="shared" si="7"/>
        <v>OK</v>
      </c>
    </row>
    <row r="266" spans="1:14" s="502" customFormat="1" ht="21.6" customHeight="1" thickTop="1" thickBot="1" x14ac:dyDescent="0.25">
      <c r="A266" s="366" t="s">
        <v>225</v>
      </c>
      <c r="B266" s="1535" t="s">
        <v>798</v>
      </c>
      <c r="C266" s="1535"/>
      <c r="D266" s="1535"/>
      <c r="E266" s="1535"/>
      <c r="F266" s="1535"/>
      <c r="G266" s="1535"/>
      <c r="H266" s="231"/>
      <c r="I266" s="365">
        <f>I267+I272+I275+I276+I277+I280</f>
        <v>0</v>
      </c>
      <c r="J266" s="361">
        <v>156</v>
      </c>
      <c r="K266" s="510"/>
      <c r="L266" s="545" t="str">
        <f t="shared" si="7"/>
        <v>OK</v>
      </c>
      <c r="M266" s="462"/>
    </row>
    <row r="267" spans="1:14" s="502" customFormat="1" ht="21.6" customHeight="1" thickTop="1" thickBot="1" x14ac:dyDescent="0.25">
      <c r="A267" s="366" t="s">
        <v>799</v>
      </c>
      <c r="B267" s="1535" t="s">
        <v>800</v>
      </c>
      <c r="C267" s="1535"/>
      <c r="D267" s="1535"/>
      <c r="E267" s="1535"/>
      <c r="F267" s="1535"/>
      <c r="G267" s="1535"/>
      <c r="H267" s="231"/>
      <c r="I267" s="365">
        <f>I268+I271</f>
        <v>0</v>
      </c>
      <c r="J267" s="361">
        <v>157</v>
      </c>
      <c r="K267" s="510"/>
      <c r="L267" s="545" t="str">
        <f t="shared" si="7"/>
        <v>OK</v>
      </c>
      <c r="M267" s="462"/>
    </row>
    <row r="268" spans="1:14" s="502" customFormat="1" ht="21.6" customHeight="1" thickTop="1" thickBot="1" x14ac:dyDescent="0.25">
      <c r="A268" s="366" t="s">
        <v>801</v>
      </c>
      <c r="B268" s="1535" t="s">
        <v>802</v>
      </c>
      <c r="C268" s="1535"/>
      <c r="D268" s="1535"/>
      <c r="E268" s="1535"/>
      <c r="F268" s="1535"/>
      <c r="G268" s="1535"/>
      <c r="H268" s="231"/>
      <c r="I268" s="365">
        <f>SUM(I269:I270)</f>
        <v>0</v>
      </c>
      <c r="J268" s="361">
        <v>158</v>
      </c>
      <c r="K268" s="510"/>
      <c r="L268" s="545" t="str">
        <f t="shared" si="7"/>
        <v>OK</v>
      </c>
      <c r="M268" s="462"/>
    </row>
    <row r="269" spans="1:14" s="502" customFormat="1" ht="21.6" customHeight="1" thickTop="1" thickBot="1" x14ac:dyDescent="0.25">
      <c r="A269" s="366" t="s">
        <v>803</v>
      </c>
      <c r="B269" s="1542" t="s">
        <v>804</v>
      </c>
      <c r="C269" s="1542"/>
      <c r="D269" s="1542"/>
      <c r="E269" s="1542"/>
      <c r="F269" s="1542"/>
      <c r="G269" s="1542"/>
      <c r="H269" s="231"/>
      <c r="I269" s="365">
        <v>0</v>
      </c>
      <c r="J269" s="361">
        <v>473</v>
      </c>
      <c r="K269" s="510"/>
      <c r="L269" s="545" t="str">
        <f t="shared" si="7"/>
        <v>OK</v>
      </c>
      <c r="M269" s="462"/>
      <c r="N269" s="546" t="s">
        <v>805</v>
      </c>
    </row>
    <row r="270" spans="1:14" s="502" customFormat="1" ht="21.6" customHeight="1" thickTop="1" thickBot="1" x14ac:dyDescent="0.25">
      <c r="A270" s="366" t="s">
        <v>806</v>
      </c>
      <c r="B270" s="612" t="s">
        <v>807</v>
      </c>
      <c r="C270" s="612"/>
      <c r="D270" s="612"/>
      <c r="E270" s="612"/>
      <c r="F270" s="612"/>
      <c r="G270" s="612"/>
      <c r="H270" s="231"/>
      <c r="I270" s="365">
        <v>0</v>
      </c>
      <c r="J270" s="361">
        <v>474</v>
      </c>
      <c r="K270" s="510"/>
      <c r="L270" s="545" t="str">
        <f t="shared" si="7"/>
        <v>OK</v>
      </c>
      <c r="M270" s="462"/>
      <c r="N270" s="546" t="s">
        <v>808</v>
      </c>
    </row>
    <row r="271" spans="1:14" s="502" customFormat="1" ht="21.6" customHeight="1" thickTop="1" thickBot="1" x14ac:dyDescent="0.25">
      <c r="A271" s="366" t="s">
        <v>809</v>
      </c>
      <c r="B271" s="1535" t="s">
        <v>810</v>
      </c>
      <c r="C271" s="1535"/>
      <c r="D271" s="1535"/>
      <c r="E271" s="1535"/>
      <c r="F271" s="1535"/>
      <c r="G271" s="1535"/>
      <c r="H271" s="231"/>
      <c r="I271" s="365">
        <v>0</v>
      </c>
      <c r="J271" s="361">
        <v>159</v>
      </c>
      <c r="K271" s="510"/>
      <c r="L271" s="545" t="str">
        <f t="shared" si="7"/>
        <v>OK</v>
      </c>
      <c r="M271" s="462"/>
      <c r="N271" s="546" t="s">
        <v>811</v>
      </c>
    </row>
    <row r="272" spans="1:14" s="502" customFormat="1" ht="21.6" customHeight="1" thickTop="1" thickBot="1" x14ac:dyDescent="0.25">
      <c r="A272" s="366" t="s">
        <v>812</v>
      </c>
      <c r="B272" s="1535" t="s">
        <v>813</v>
      </c>
      <c r="C272" s="1535"/>
      <c r="D272" s="1535"/>
      <c r="E272" s="1535"/>
      <c r="F272" s="1535"/>
      <c r="G272" s="1535"/>
      <c r="H272" s="231"/>
      <c r="I272" s="365">
        <f>SUM(I273:I274)</f>
        <v>0</v>
      </c>
      <c r="J272" s="361">
        <v>160</v>
      </c>
      <c r="K272" s="510"/>
      <c r="L272" s="545" t="str">
        <f t="shared" si="7"/>
        <v>OK</v>
      </c>
      <c r="M272" s="462"/>
    </row>
    <row r="273" spans="1:14" s="502" customFormat="1" ht="21.6" customHeight="1" thickTop="1" thickBot="1" x14ac:dyDescent="0.25">
      <c r="A273" s="366" t="s">
        <v>814</v>
      </c>
      <c r="B273" s="1535" t="s">
        <v>815</v>
      </c>
      <c r="C273" s="1535"/>
      <c r="D273" s="1535"/>
      <c r="E273" s="1535"/>
      <c r="F273" s="1535"/>
      <c r="G273" s="1535"/>
      <c r="H273" s="231"/>
      <c r="I273" s="365">
        <v>0</v>
      </c>
      <c r="J273" s="361">
        <v>161</v>
      </c>
      <c r="K273" s="510"/>
      <c r="L273" s="545" t="str">
        <f t="shared" si="7"/>
        <v>OK</v>
      </c>
      <c r="M273" s="462"/>
      <c r="N273" s="546" t="s">
        <v>816</v>
      </c>
    </row>
    <row r="274" spans="1:14" s="502" customFormat="1" ht="21.6" customHeight="1" thickTop="1" thickBot="1" x14ac:dyDescent="0.25">
      <c r="A274" s="366" t="s">
        <v>817</v>
      </c>
      <c r="B274" s="1535" t="s">
        <v>818</v>
      </c>
      <c r="C274" s="1535"/>
      <c r="D274" s="1535"/>
      <c r="E274" s="1535"/>
      <c r="F274" s="1535"/>
      <c r="G274" s="1535"/>
      <c r="H274" s="231"/>
      <c r="I274" s="365">
        <v>0</v>
      </c>
      <c r="J274" s="361">
        <v>162</v>
      </c>
      <c r="K274" s="510"/>
      <c r="L274" s="545" t="str">
        <f t="shared" si="7"/>
        <v>OK</v>
      </c>
      <c r="M274" s="462"/>
      <c r="N274" s="546" t="s">
        <v>819</v>
      </c>
    </row>
    <row r="275" spans="1:14" s="502" customFormat="1" ht="21.6" customHeight="1" thickTop="1" thickBot="1" x14ac:dyDescent="0.25">
      <c r="A275" s="366" t="s">
        <v>820</v>
      </c>
      <c r="B275" s="1535" t="s">
        <v>821</v>
      </c>
      <c r="C275" s="1535"/>
      <c r="D275" s="1535"/>
      <c r="E275" s="1535"/>
      <c r="F275" s="1535"/>
      <c r="G275" s="1535"/>
      <c r="H275" s="231"/>
      <c r="I275" s="365">
        <v>0</v>
      </c>
      <c r="J275" s="361">
        <v>163</v>
      </c>
      <c r="K275" s="510"/>
      <c r="L275" s="545" t="str">
        <f t="shared" si="7"/>
        <v>OK</v>
      </c>
      <c r="M275" s="462"/>
      <c r="N275" s="546" t="s">
        <v>822</v>
      </c>
    </row>
    <row r="276" spans="1:14" s="502" customFormat="1" ht="21.6" customHeight="1" thickTop="1" thickBot="1" x14ac:dyDescent="0.25">
      <c r="A276" s="366" t="s">
        <v>823</v>
      </c>
      <c r="B276" s="1535" t="s">
        <v>824</v>
      </c>
      <c r="C276" s="1535"/>
      <c r="D276" s="1535"/>
      <c r="E276" s="1535"/>
      <c r="F276" s="1535"/>
      <c r="G276" s="1535"/>
      <c r="H276" s="231"/>
      <c r="I276" s="365">
        <v>0</v>
      </c>
      <c r="J276" s="361">
        <v>164</v>
      </c>
      <c r="K276" s="510"/>
      <c r="L276" s="545" t="str">
        <f t="shared" si="7"/>
        <v>OK</v>
      </c>
      <c r="M276" s="462"/>
      <c r="N276" s="546" t="s">
        <v>825</v>
      </c>
    </row>
    <row r="277" spans="1:14" s="502" customFormat="1" ht="21.6" customHeight="1" thickTop="1" thickBot="1" x14ac:dyDescent="0.25">
      <c r="A277" s="366" t="s">
        <v>812</v>
      </c>
      <c r="B277" s="1535" t="s">
        <v>826</v>
      </c>
      <c r="C277" s="1535"/>
      <c r="D277" s="1535"/>
      <c r="E277" s="1535"/>
      <c r="F277" s="1535"/>
      <c r="G277" s="1535"/>
      <c r="H277" s="231"/>
      <c r="I277" s="365">
        <f>SUM(I278:I279)</f>
        <v>0</v>
      </c>
      <c r="J277" s="361">
        <v>165</v>
      </c>
      <c r="K277" s="510"/>
      <c r="L277" s="545" t="s">
        <v>1729</v>
      </c>
      <c r="M277" s="462"/>
      <c r="N277" s="546" t="s">
        <v>827</v>
      </c>
    </row>
    <row r="278" spans="1:14" s="502" customFormat="1" ht="21.6" customHeight="1" thickTop="1" x14ac:dyDescent="0.2">
      <c r="A278" s="552" t="s">
        <v>814</v>
      </c>
      <c r="B278" s="1542" t="s">
        <v>828</v>
      </c>
      <c r="C278" s="1542"/>
      <c r="D278" s="1542"/>
      <c r="E278" s="1542"/>
      <c r="F278" s="1542"/>
      <c r="G278" s="1542"/>
      <c r="H278" s="231"/>
      <c r="I278" s="164"/>
      <c r="J278" s="361">
        <v>475</v>
      </c>
      <c r="K278" s="510"/>
      <c r="L278" s="545" t="str">
        <f t="shared" ref="L278:L284" si="8">IF(I278&gt;=0,"OK","ERROR")</f>
        <v>OK</v>
      </c>
      <c r="M278" s="462"/>
    </row>
    <row r="279" spans="1:14" s="502" customFormat="1" ht="21.6" customHeight="1" x14ac:dyDescent="0.2">
      <c r="A279" s="552" t="s">
        <v>817</v>
      </c>
      <c r="B279" s="1542" t="s">
        <v>829</v>
      </c>
      <c r="C279" s="1542"/>
      <c r="D279" s="1542"/>
      <c r="E279" s="1542"/>
      <c r="F279" s="1542"/>
      <c r="G279" s="1542"/>
      <c r="H279" s="231"/>
      <c r="I279" s="164"/>
      <c r="J279" s="361">
        <v>476</v>
      </c>
      <c r="K279" s="510"/>
      <c r="L279" s="545" t="str">
        <f t="shared" si="8"/>
        <v>OK</v>
      </c>
      <c r="M279" s="462"/>
    </row>
    <row r="280" spans="1:14" s="502" customFormat="1" ht="21.6" customHeight="1" thickBot="1" x14ac:dyDescent="0.25">
      <c r="A280" s="366" t="s">
        <v>820</v>
      </c>
      <c r="B280" s="1535" t="s">
        <v>830</v>
      </c>
      <c r="C280" s="1535"/>
      <c r="D280" s="1535"/>
      <c r="E280" s="1535"/>
      <c r="F280" s="1535"/>
      <c r="G280" s="1535"/>
      <c r="H280" s="231"/>
      <c r="I280" s="365">
        <f>SUM(I281:I283)</f>
        <v>0</v>
      </c>
      <c r="J280" s="361">
        <v>166</v>
      </c>
      <c r="K280" s="510"/>
      <c r="L280" s="545" t="str">
        <f t="shared" si="8"/>
        <v>OK</v>
      </c>
      <c r="M280" s="462"/>
    </row>
    <row r="281" spans="1:14" s="502" customFormat="1" ht="21.6" customHeight="1" thickTop="1" thickBot="1" x14ac:dyDescent="0.25">
      <c r="A281" s="366" t="s">
        <v>1658</v>
      </c>
      <c r="B281" s="1535" t="s">
        <v>831</v>
      </c>
      <c r="C281" s="1535"/>
      <c r="D281" s="1535"/>
      <c r="E281" s="1535"/>
      <c r="F281" s="1535"/>
      <c r="G281" s="1535"/>
      <c r="H281" s="231"/>
      <c r="I281" s="365">
        <v>0</v>
      </c>
      <c r="J281" s="361">
        <v>167</v>
      </c>
      <c r="K281" s="510"/>
      <c r="L281" s="545" t="str">
        <f t="shared" si="8"/>
        <v>OK</v>
      </c>
      <c r="M281" s="462"/>
      <c r="N281" s="546" t="s">
        <v>832</v>
      </c>
    </row>
    <row r="282" spans="1:14" s="502" customFormat="1" ht="21.6" customHeight="1" thickTop="1" thickBot="1" x14ac:dyDescent="0.25">
      <c r="A282" s="366" t="s">
        <v>1659</v>
      </c>
      <c r="B282" s="1535" t="s">
        <v>833</v>
      </c>
      <c r="C282" s="1535"/>
      <c r="D282" s="1535"/>
      <c r="E282" s="1535"/>
      <c r="F282" s="1535"/>
      <c r="G282" s="1535"/>
      <c r="H282" s="231"/>
      <c r="I282" s="365">
        <v>0</v>
      </c>
      <c r="J282" s="361">
        <v>168</v>
      </c>
      <c r="K282" s="510"/>
      <c r="L282" s="545" t="str">
        <f t="shared" si="8"/>
        <v>OK</v>
      </c>
      <c r="M282" s="462"/>
      <c r="N282" s="546" t="s">
        <v>834</v>
      </c>
    </row>
    <row r="283" spans="1:14" s="502" customFormat="1" ht="21.6" customHeight="1" thickTop="1" thickBot="1" x14ac:dyDescent="0.25">
      <c r="A283" s="366" t="s">
        <v>1660</v>
      </c>
      <c r="B283" s="1535" t="s">
        <v>835</v>
      </c>
      <c r="C283" s="1535"/>
      <c r="D283" s="1535"/>
      <c r="E283" s="1535"/>
      <c r="F283" s="1535"/>
      <c r="G283" s="1535"/>
      <c r="H283" s="231"/>
      <c r="I283" s="365">
        <v>0</v>
      </c>
      <c r="J283" s="361">
        <v>169</v>
      </c>
      <c r="K283" s="510"/>
      <c r="L283" s="545" t="str">
        <f t="shared" si="8"/>
        <v>OK</v>
      </c>
      <c r="M283" s="462"/>
      <c r="N283" s="546" t="s">
        <v>836</v>
      </c>
    </row>
    <row r="284" spans="1:14" s="502" customFormat="1" ht="21.6" customHeight="1" thickTop="1" thickBot="1" x14ac:dyDescent="0.25">
      <c r="A284" s="366" t="s">
        <v>227</v>
      </c>
      <c r="B284" s="1535" t="s">
        <v>837</v>
      </c>
      <c r="C284" s="1535"/>
      <c r="D284" s="1535"/>
      <c r="E284" s="1535"/>
      <c r="F284" s="1535"/>
      <c r="G284" s="1535"/>
      <c r="H284" s="231"/>
      <c r="I284" s="365">
        <v>0</v>
      </c>
      <c r="J284" s="361">
        <v>170</v>
      </c>
      <c r="K284" s="510"/>
      <c r="L284" s="545" t="str">
        <f t="shared" si="8"/>
        <v>OK</v>
      </c>
      <c r="M284" s="462"/>
      <c r="N284" s="546" t="s">
        <v>838</v>
      </c>
    </row>
    <row r="285" spans="1:14" ht="41.25" customHeight="1" thickTop="1" thickBot="1" x14ac:dyDescent="0.3">
      <c r="A285" s="295" t="s">
        <v>839</v>
      </c>
      <c r="B285" s="1519" t="s">
        <v>840</v>
      </c>
      <c r="C285" s="1519"/>
      <c r="D285" s="1519"/>
      <c r="E285" s="1519"/>
      <c r="F285" s="1519"/>
      <c r="G285" s="1519"/>
      <c r="H285" s="291"/>
      <c r="I285" s="292">
        <f>SUM(I286:I288)</f>
        <v>0</v>
      </c>
      <c r="J285" s="293">
        <v>171</v>
      </c>
      <c r="K285" s="15"/>
      <c r="L285" s="294" t="str">
        <f>IF(I285&gt;0,"OK","ERROR")</f>
        <v>ERROR</v>
      </c>
    </row>
    <row r="286" spans="1:14" s="502" customFormat="1" ht="21.6" customHeight="1" thickTop="1" x14ac:dyDescent="0.2">
      <c r="A286" s="366" t="s">
        <v>236</v>
      </c>
      <c r="B286" s="1517" t="s">
        <v>841</v>
      </c>
      <c r="C286" s="1517"/>
      <c r="D286" s="1517"/>
      <c r="E286" s="1517"/>
      <c r="F286" s="1517"/>
      <c r="G286" s="1517"/>
      <c r="H286" s="231"/>
      <c r="I286" s="164"/>
      <c r="J286" s="361">
        <v>172</v>
      </c>
      <c r="K286" s="510"/>
      <c r="L286" s="545" t="str">
        <f t="shared" ref="L286:L291" si="9">IF(I286&gt;=0,"OK","ERROR")</f>
        <v>OK</v>
      </c>
      <c r="M286" s="462"/>
    </row>
    <row r="287" spans="1:14" s="502" customFormat="1" ht="21.6" customHeight="1" x14ac:dyDescent="0.2">
      <c r="A287" s="366" t="s">
        <v>238</v>
      </c>
      <c r="B287" s="1517" t="s">
        <v>842</v>
      </c>
      <c r="C287" s="1517"/>
      <c r="D287" s="1517"/>
      <c r="E287" s="1517"/>
      <c r="F287" s="1517"/>
      <c r="G287" s="1517"/>
      <c r="H287" s="231"/>
      <c r="I287" s="164"/>
      <c r="J287" s="361">
        <v>173</v>
      </c>
      <c r="K287" s="510"/>
      <c r="L287" s="545" t="str">
        <f t="shared" si="9"/>
        <v>OK</v>
      </c>
      <c r="M287" s="462"/>
    </row>
    <row r="288" spans="1:14" s="502" customFormat="1" ht="21.6" customHeight="1" x14ac:dyDescent="0.2">
      <c r="A288" s="366" t="s">
        <v>843</v>
      </c>
      <c r="B288" s="1517" t="s">
        <v>844</v>
      </c>
      <c r="C288" s="1517"/>
      <c r="D288" s="1517"/>
      <c r="E288" s="1517"/>
      <c r="F288" s="1517"/>
      <c r="G288" s="1517"/>
      <c r="H288" s="231"/>
      <c r="I288" s="164"/>
      <c r="J288" s="361">
        <v>174</v>
      </c>
      <c r="K288" s="510"/>
      <c r="L288" s="545" t="str">
        <f t="shared" si="9"/>
        <v>OK</v>
      </c>
      <c r="M288" s="462"/>
    </row>
    <row r="289" spans="1:20" s="502" customFormat="1" ht="41.25" customHeight="1" x14ac:dyDescent="0.25">
      <c r="A289" s="364" t="s">
        <v>845</v>
      </c>
      <c r="B289" s="1545" t="s">
        <v>846</v>
      </c>
      <c r="C289" s="1545"/>
      <c r="D289" s="1545"/>
      <c r="E289" s="1545"/>
      <c r="F289" s="1545"/>
      <c r="G289" s="1545"/>
      <c r="H289" s="231"/>
      <c r="I289" s="164"/>
      <c r="J289" s="361">
        <v>477</v>
      </c>
      <c r="K289" s="510"/>
      <c r="L289" s="545" t="str">
        <f t="shared" si="9"/>
        <v>OK</v>
      </c>
      <c r="M289" s="462"/>
    </row>
    <row r="290" spans="1:20" s="502" customFormat="1" ht="41.25" customHeight="1" x14ac:dyDescent="0.25">
      <c r="A290" s="364" t="s">
        <v>847</v>
      </c>
      <c r="B290" s="1545" t="s">
        <v>848</v>
      </c>
      <c r="C290" s="1545"/>
      <c r="D290" s="1545"/>
      <c r="E290" s="1545"/>
      <c r="F290" s="1545"/>
      <c r="G290" s="1545"/>
      <c r="H290" s="231"/>
      <c r="I290" s="164"/>
      <c r="J290" s="895">
        <v>175</v>
      </c>
      <c r="K290" s="232"/>
      <c r="L290" s="545" t="str">
        <f t="shared" si="9"/>
        <v>OK</v>
      </c>
      <c r="M290" s="462"/>
    </row>
    <row r="291" spans="1:20" s="502" customFormat="1" ht="41.25" customHeight="1" x14ac:dyDescent="0.25">
      <c r="A291" s="364" t="s">
        <v>849</v>
      </c>
      <c r="B291" s="1545" t="s">
        <v>850</v>
      </c>
      <c r="C291" s="1545"/>
      <c r="D291" s="1545"/>
      <c r="E291" s="1545"/>
      <c r="F291" s="1545"/>
      <c r="G291" s="1545"/>
      <c r="H291" s="231"/>
      <c r="I291" s="164"/>
      <c r="J291" s="895">
        <v>178</v>
      </c>
      <c r="K291" s="232"/>
      <c r="L291" s="545" t="str">
        <f t="shared" si="9"/>
        <v>OK</v>
      </c>
      <c r="M291" s="462"/>
    </row>
    <row r="292" spans="1:20" s="502" customFormat="1" ht="41.25" customHeight="1" x14ac:dyDescent="0.25">
      <c r="A292" s="364" t="s">
        <v>851</v>
      </c>
      <c r="B292" s="1545" t="s">
        <v>852</v>
      </c>
      <c r="C292" s="1545"/>
      <c r="D292" s="1545"/>
      <c r="E292" s="1545"/>
      <c r="F292" s="1545"/>
      <c r="G292" s="1545"/>
      <c r="H292" s="231"/>
      <c r="I292" s="164"/>
      <c r="J292" s="361">
        <v>181</v>
      </c>
      <c r="K292" s="232"/>
      <c r="L292" s="545" t="str">
        <f>IF(I292&lt;=0,"OK","ERROR")</f>
        <v>OK</v>
      </c>
      <c r="M292" s="462"/>
    </row>
    <row r="293" spans="1:20" s="502" customFormat="1" ht="41.25" customHeight="1" thickBot="1" x14ac:dyDescent="0.3">
      <c r="A293" s="523">
        <v>2.9</v>
      </c>
      <c r="B293" s="1545" t="s">
        <v>853</v>
      </c>
      <c r="C293" s="1545"/>
      <c r="D293" s="1545"/>
      <c r="E293" s="1545"/>
      <c r="F293" s="1545"/>
      <c r="G293" s="1545"/>
      <c r="H293" s="231"/>
      <c r="I293" s="365">
        <f>SUM(I294:I296)</f>
        <v>0</v>
      </c>
      <c r="J293" s="361">
        <v>608</v>
      </c>
      <c r="K293" s="232"/>
      <c r="L293" s="462"/>
      <c r="M293" s="462"/>
    </row>
    <row r="294" spans="1:20" s="502" customFormat="1" ht="21.6" customHeight="1" thickTop="1" x14ac:dyDescent="0.2">
      <c r="A294" s="524" t="s">
        <v>854</v>
      </c>
      <c r="B294" s="1494" t="s">
        <v>855</v>
      </c>
      <c r="C294" s="1494"/>
      <c r="D294" s="1494"/>
      <c r="E294" s="1494"/>
      <c r="F294" s="1494"/>
      <c r="G294" s="1494"/>
      <c r="H294" s="231"/>
      <c r="I294" s="164"/>
      <c r="J294" s="361">
        <v>609</v>
      </c>
      <c r="K294" s="510"/>
      <c r="L294" s="470" t="str">
        <f>IF(I294&gt;=0,"OK","ERROR")</f>
        <v>OK</v>
      </c>
      <c r="M294" s="462"/>
    </row>
    <row r="295" spans="1:20" s="502" customFormat="1" ht="21.6" customHeight="1" x14ac:dyDescent="0.2">
      <c r="A295" s="524" t="s">
        <v>856</v>
      </c>
      <c r="B295" s="1494" t="s">
        <v>857</v>
      </c>
      <c r="C295" s="1494"/>
      <c r="D295" s="1494"/>
      <c r="E295" s="1494"/>
      <c r="F295" s="1494"/>
      <c r="G295" s="1494"/>
      <c r="H295" s="231"/>
      <c r="I295" s="164"/>
      <c r="J295" s="361">
        <v>610</v>
      </c>
      <c r="K295" s="232"/>
      <c r="L295" s="470" t="str">
        <f>IF(I295&gt;=0,"OK","ERROR")</f>
        <v>OK</v>
      </c>
      <c r="M295" s="462"/>
    </row>
    <row r="296" spans="1:20" s="502" customFormat="1" ht="21.6" customHeight="1" x14ac:dyDescent="0.2">
      <c r="A296" s="524" t="s">
        <v>858</v>
      </c>
      <c r="B296" s="1538" t="s">
        <v>859</v>
      </c>
      <c r="C296" s="1538"/>
      <c r="D296" s="1538"/>
      <c r="E296" s="1538"/>
      <c r="F296" s="1538"/>
      <c r="G296" s="1538"/>
      <c r="H296" s="231"/>
      <c r="I296" s="164"/>
      <c r="J296" s="361">
        <v>611</v>
      </c>
      <c r="K296" s="232"/>
      <c r="L296" s="470" t="str">
        <f>IF(I296&lt;=0,"OK","ERROR")</f>
        <v>OK</v>
      </c>
      <c r="M296" s="462"/>
    </row>
    <row r="297" spans="1:20" ht="41.25" customHeight="1" thickBot="1" x14ac:dyDescent="0.3">
      <c r="A297" s="295" t="s">
        <v>860</v>
      </c>
      <c r="B297" s="1519" t="s">
        <v>861</v>
      </c>
      <c r="C297" s="1519"/>
      <c r="D297" s="1519"/>
      <c r="E297" s="1519"/>
      <c r="F297" s="1519"/>
      <c r="G297" s="1519"/>
      <c r="H297" s="291"/>
      <c r="I297" s="292">
        <f>SUM(I298:I300)</f>
        <v>0</v>
      </c>
      <c r="J297" s="293">
        <v>179</v>
      </c>
      <c r="K297" s="9"/>
      <c r="L297"/>
    </row>
    <row r="298" spans="1:20" s="502" customFormat="1" ht="21.6" customHeight="1" thickTop="1" x14ac:dyDescent="0.2">
      <c r="A298" s="524" t="s">
        <v>862</v>
      </c>
      <c r="B298" s="1494" t="s">
        <v>863</v>
      </c>
      <c r="C298" s="1494"/>
      <c r="D298" s="1494"/>
      <c r="E298" s="1494"/>
      <c r="F298" s="1494"/>
      <c r="G298" s="1494"/>
      <c r="H298" s="231"/>
      <c r="I298" s="164"/>
      <c r="J298" s="361">
        <v>612</v>
      </c>
      <c r="K298" s="232"/>
      <c r="L298" s="470" t="str">
        <f>IF(I298&gt;=0,"OK","ERROR")</f>
        <v>OK</v>
      </c>
      <c r="M298" s="462"/>
    </row>
    <row r="299" spans="1:20" s="332" customFormat="1" ht="21.6" customHeight="1" x14ac:dyDescent="0.2">
      <c r="A299" s="333" t="s">
        <v>864</v>
      </c>
      <c r="B299" s="1498" t="s">
        <v>865</v>
      </c>
      <c r="C299" s="1498"/>
      <c r="D299" s="1498"/>
      <c r="E299" s="1498"/>
      <c r="F299" s="1498"/>
      <c r="G299" s="1498"/>
      <c r="H299" s="291"/>
      <c r="I299" s="245"/>
      <c r="J299" s="293">
        <v>613</v>
      </c>
      <c r="K299" s="334"/>
      <c r="L299" s="2" t="str">
        <f>IF(I299&gt;=0,"OK","ERROR")</f>
        <v>OK</v>
      </c>
      <c r="M299" s="157"/>
    </row>
    <row r="300" spans="1:20" s="502" customFormat="1" ht="21.6" customHeight="1" x14ac:dyDescent="0.2">
      <c r="A300" s="524" t="s">
        <v>866</v>
      </c>
      <c r="B300" s="1538" t="s">
        <v>867</v>
      </c>
      <c r="C300" s="1538"/>
      <c r="D300" s="1538"/>
      <c r="E300" s="1538"/>
      <c r="F300" s="1538"/>
      <c r="G300" s="1538"/>
      <c r="H300" s="231"/>
      <c r="I300" s="164"/>
      <c r="J300" s="361">
        <v>614</v>
      </c>
      <c r="K300" s="232"/>
      <c r="L300" s="470" t="str">
        <f>IF(I300&gt;=0,"OK","ERROR")</f>
        <v>OK</v>
      </c>
      <c r="M300" s="462"/>
    </row>
    <row r="301" spans="1:20" ht="41.25" customHeight="1" x14ac:dyDescent="0.25">
      <c r="A301" s="335">
        <v>3</v>
      </c>
      <c r="B301" s="1548" t="s">
        <v>868</v>
      </c>
      <c r="C301" s="1549"/>
      <c r="D301" s="1549"/>
      <c r="E301" s="1549"/>
      <c r="F301" s="1549"/>
      <c r="G301" s="1549"/>
      <c r="H301" s="291"/>
      <c r="I301" s="309"/>
      <c r="J301" s="293"/>
      <c r="K301" s="15"/>
      <c r="N301"/>
      <c r="O301" s="1546"/>
      <c r="P301" s="1546"/>
      <c r="Q301"/>
      <c r="R301"/>
      <c r="S301"/>
      <c r="T301"/>
    </row>
    <row r="302" spans="1:20" ht="41.25" customHeight="1" x14ac:dyDescent="0.25">
      <c r="A302" s="324" t="s">
        <v>869</v>
      </c>
      <c r="B302" s="1529" t="s">
        <v>870</v>
      </c>
      <c r="C302" s="1529"/>
      <c r="D302" s="1529"/>
      <c r="E302" s="1529"/>
      <c r="F302" s="1529"/>
      <c r="G302" s="1529"/>
      <c r="H302" s="291"/>
      <c r="I302" s="309"/>
      <c r="J302" s="293"/>
      <c r="K302" s="15"/>
      <c r="N302"/>
      <c r="O302"/>
      <c r="P302"/>
      <c r="Q302"/>
      <c r="R302"/>
      <c r="S302"/>
      <c r="T302"/>
    </row>
    <row r="303" spans="1:20" ht="21.6" customHeight="1" thickBot="1" x14ac:dyDescent="0.25">
      <c r="A303" s="297" t="s">
        <v>871</v>
      </c>
      <c r="B303" s="1504" t="s">
        <v>872</v>
      </c>
      <c r="C303" s="1504"/>
      <c r="D303" s="1504"/>
      <c r="E303" s="1504"/>
      <c r="F303" s="1504"/>
      <c r="G303" s="1504"/>
      <c r="H303" s="291"/>
      <c r="I303" s="292">
        <f>I194/(8/100)*0.045</f>
        <v>0</v>
      </c>
      <c r="J303" s="293">
        <v>478</v>
      </c>
      <c r="K303" s="15"/>
      <c r="L303"/>
      <c r="N303"/>
      <c r="O303"/>
      <c r="P303"/>
      <c r="Q303"/>
      <c r="R303"/>
      <c r="S303"/>
      <c r="T303"/>
    </row>
    <row r="304" spans="1:20" ht="21.6" customHeight="1" thickTop="1" thickBot="1" x14ac:dyDescent="0.25">
      <c r="A304" s="297" t="s">
        <v>873</v>
      </c>
      <c r="B304" s="1499" t="s">
        <v>874</v>
      </c>
      <c r="C304" s="1499"/>
      <c r="D304" s="1499"/>
      <c r="E304" s="1499"/>
      <c r="F304" s="1499"/>
      <c r="G304" s="1499"/>
      <c r="H304" s="291"/>
      <c r="I304" s="292">
        <f>I194/(8/100)*0.06</f>
        <v>0</v>
      </c>
      <c r="J304" s="293">
        <v>479</v>
      </c>
      <c r="K304" s="15"/>
      <c r="L304"/>
      <c r="N304"/>
      <c r="O304"/>
      <c r="P304"/>
      <c r="Q304"/>
      <c r="R304"/>
      <c r="S304"/>
      <c r="T304"/>
    </row>
    <row r="305" spans="1:19" ht="21.6" customHeight="1" thickTop="1" thickBot="1" x14ac:dyDescent="0.25">
      <c r="A305" s="297" t="s">
        <v>875</v>
      </c>
      <c r="B305" s="1499" t="s">
        <v>876</v>
      </c>
      <c r="C305" s="1499"/>
      <c r="D305" s="1499"/>
      <c r="E305" s="1499"/>
      <c r="F305" s="1499"/>
      <c r="G305" s="1499"/>
      <c r="H305" s="291"/>
      <c r="I305" s="292">
        <f>I194</f>
        <v>0</v>
      </c>
      <c r="J305" s="293">
        <v>480</v>
      </c>
      <c r="K305" s="15"/>
      <c r="L305"/>
      <c r="N305" s="336"/>
      <c r="O305" s="337"/>
      <c r="P305" s="337"/>
      <c r="Q305" s="337"/>
      <c r="R305" s="337"/>
      <c r="S305" s="337"/>
    </row>
    <row r="306" spans="1:19" ht="41.25" customHeight="1" thickTop="1" x14ac:dyDescent="0.25">
      <c r="A306" s="324" t="s">
        <v>877</v>
      </c>
      <c r="B306" s="1547" t="s">
        <v>878</v>
      </c>
      <c r="C306" s="1547"/>
      <c r="D306" s="1547"/>
      <c r="E306" s="1547"/>
      <c r="F306" s="1547"/>
      <c r="G306" s="1547"/>
      <c r="H306" s="291"/>
      <c r="I306" s="309"/>
      <c r="J306" s="293"/>
      <c r="K306" s="15"/>
      <c r="N306" s="338"/>
      <c r="O306" s="339"/>
      <c r="P306" s="339"/>
      <c r="Q306" s="339"/>
      <c r="R306" s="339"/>
      <c r="S306" s="339"/>
    </row>
    <row r="307" spans="1:19" s="502" customFormat="1" ht="27.6" customHeight="1" x14ac:dyDescent="0.2">
      <c r="A307" s="366" t="s">
        <v>879</v>
      </c>
      <c r="B307" s="1535" t="s">
        <v>2225</v>
      </c>
      <c r="C307" s="1535"/>
      <c r="D307" s="1535"/>
      <c r="E307" s="1535"/>
      <c r="F307" s="1535"/>
      <c r="G307" s="1535"/>
      <c r="H307" s="231"/>
      <c r="I307" s="901"/>
      <c r="J307" s="361">
        <v>590</v>
      </c>
      <c r="K307" s="510"/>
      <c r="L307" s="545" t="str">
        <f>IF(OR(I307=1,I307=2,I307=3,I307=4,I307=5),"OK","ERROR")</f>
        <v>ERROR</v>
      </c>
      <c r="M307" s="462"/>
      <c r="N307" s="902"/>
      <c r="O307" s="903"/>
      <c r="P307" s="903"/>
      <c r="Q307" s="903"/>
      <c r="R307" s="903"/>
      <c r="S307" s="903"/>
    </row>
    <row r="308" spans="1:19" ht="35.85" customHeight="1" thickBot="1" x14ac:dyDescent="0.25">
      <c r="A308" s="298" t="s">
        <v>880</v>
      </c>
      <c r="B308" s="1503" t="s">
        <v>881</v>
      </c>
      <c r="C308" s="1503"/>
      <c r="D308" s="1503"/>
      <c r="E308" s="1503"/>
      <c r="F308" s="1503"/>
      <c r="G308" s="1503"/>
      <c r="H308" s="291"/>
      <c r="I308" s="292">
        <f>I194/(8/100)*(0.045+I311+I312)</f>
        <v>0</v>
      </c>
      <c r="J308" s="293">
        <v>481</v>
      </c>
      <c r="K308" s="15"/>
      <c r="L308"/>
      <c r="N308" s="340"/>
      <c r="O308" s="341"/>
      <c r="P308" s="342"/>
      <c r="Q308" s="343"/>
      <c r="R308" s="342"/>
      <c r="S308" s="342"/>
    </row>
    <row r="309" spans="1:19" ht="21.6" customHeight="1" thickTop="1" x14ac:dyDescent="0.2">
      <c r="A309" s="297"/>
      <c r="B309" s="1521" t="s">
        <v>556</v>
      </c>
      <c r="C309" s="1521"/>
      <c r="D309" s="1521"/>
      <c r="E309" s="1521"/>
      <c r="F309" s="1521"/>
      <c r="G309" s="1521"/>
      <c r="H309" s="291"/>
      <c r="I309" s="317"/>
      <c r="J309" s="293"/>
      <c r="K309" s="15"/>
      <c r="N309" s="340"/>
      <c r="O309" s="342"/>
      <c r="P309" s="342"/>
      <c r="Q309" s="342"/>
      <c r="R309" s="342"/>
      <c r="S309" s="342"/>
    </row>
    <row r="310" spans="1:19" ht="21.6" customHeight="1" thickBot="1" x14ac:dyDescent="0.25">
      <c r="A310" s="297" t="s">
        <v>882</v>
      </c>
      <c r="B310" s="1551" t="s">
        <v>883</v>
      </c>
      <c r="C310" s="1551"/>
      <c r="D310" s="1551"/>
      <c r="E310" s="1551"/>
      <c r="F310" s="1551"/>
      <c r="G310" s="1551"/>
      <c r="H310" s="291"/>
      <c r="I310" s="292">
        <f>I194/(8/100)*(I311+I312)</f>
        <v>0</v>
      </c>
      <c r="J310" s="293">
        <v>482</v>
      </c>
      <c r="K310" s="15"/>
      <c r="L310" s="294" t="str">
        <f>IF(I310&lt;=I308,"OK","ERROR")</f>
        <v>OK</v>
      </c>
      <c r="N310" s="340"/>
      <c r="O310" s="342"/>
      <c r="P310" s="342"/>
      <c r="Q310" s="343"/>
      <c r="R310" s="342"/>
      <c r="S310" s="341"/>
    </row>
    <row r="311" spans="1:19" ht="21.6" customHeight="1" thickTop="1" thickBot="1" x14ac:dyDescent="0.25">
      <c r="A311" s="304" t="s">
        <v>884</v>
      </c>
      <c r="B311" s="1499" t="s">
        <v>885</v>
      </c>
      <c r="C311" s="1499"/>
      <c r="D311" s="1499"/>
      <c r="E311" s="1499"/>
      <c r="F311" s="1499"/>
      <c r="G311" s="1499"/>
      <c r="H311" s="291"/>
      <c r="I311" s="344">
        <f>IF(OR(I307=1,I307=2),3.7%,IF(I307=3,3.3%,IF(I307=4,2.9%,IF(I307=5,2.5%,0))))</f>
        <v>0</v>
      </c>
      <c r="J311" s="293">
        <v>484</v>
      </c>
      <c r="K311" s="15"/>
      <c r="L311" s="294" t="str">
        <f>IF(I311&gt;0,"OK","ERROR")</f>
        <v>ERROR</v>
      </c>
    </row>
    <row r="312" spans="1:19" ht="21.6" customHeight="1" thickTop="1" x14ac:dyDescent="0.2">
      <c r="A312" s="304" t="s">
        <v>886</v>
      </c>
      <c r="B312" s="1550" t="s">
        <v>887</v>
      </c>
      <c r="C312" s="1550"/>
      <c r="D312" s="1550"/>
      <c r="E312" s="1550"/>
      <c r="F312" s="1550"/>
      <c r="G312" s="1550"/>
      <c r="H312" s="291"/>
      <c r="I312" s="345"/>
      <c r="J312" s="293">
        <v>591</v>
      </c>
      <c r="K312" s="15"/>
    </row>
    <row r="313" spans="1:19" ht="35.85" customHeight="1" x14ac:dyDescent="0.2">
      <c r="A313" s="298" t="s">
        <v>888</v>
      </c>
      <c r="B313" s="1498" t="s">
        <v>889</v>
      </c>
      <c r="C313" s="1499"/>
      <c r="D313" s="1499"/>
      <c r="E313" s="1499"/>
      <c r="F313" s="1499"/>
      <c r="G313" s="1499"/>
      <c r="H313" s="291"/>
      <c r="I313" s="346"/>
      <c r="J313" s="293">
        <v>485</v>
      </c>
      <c r="K313" s="15"/>
      <c r="L313"/>
    </row>
    <row r="314" spans="1:19" ht="21.6" customHeight="1" x14ac:dyDescent="0.2">
      <c r="A314" s="297" t="s">
        <v>890</v>
      </c>
      <c r="B314" s="1499" t="s">
        <v>891</v>
      </c>
      <c r="C314" s="1499"/>
      <c r="D314" s="1499"/>
      <c r="E314" s="1499"/>
      <c r="F314" s="1499"/>
      <c r="G314" s="1499"/>
      <c r="H314" s="291"/>
      <c r="I314" s="346"/>
      <c r="J314" s="293">
        <v>486</v>
      </c>
      <c r="K314" s="15"/>
      <c r="L314"/>
    </row>
    <row r="315" spans="1:19" ht="50.25" customHeight="1" thickBot="1" x14ac:dyDescent="0.25">
      <c r="A315" s="333" t="s">
        <v>892</v>
      </c>
      <c r="B315" s="1498" t="s">
        <v>893</v>
      </c>
      <c r="C315" s="1498"/>
      <c r="D315" s="1498"/>
      <c r="E315" s="1498"/>
      <c r="F315" s="1498"/>
      <c r="G315" s="1498"/>
      <c r="H315" s="291"/>
      <c r="I315" s="344">
        <f>IF(OR(I194=0,I314=0),0,(I314/(I194/0.08))*(I313/I314))</f>
        <v>0</v>
      </c>
      <c r="J315" s="293">
        <v>487</v>
      </c>
      <c r="K315" s="15"/>
      <c r="L315" s="294" t="str">
        <f>IF(I315&gt;=0,"OK","ERROR")</f>
        <v>OK</v>
      </c>
    </row>
    <row r="316" spans="1:19" ht="21.6" customHeight="1" thickTop="1" x14ac:dyDescent="0.2">
      <c r="A316" s="297" t="s">
        <v>894</v>
      </c>
      <c r="B316" s="1499" t="s">
        <v>895</v>
      </c>
      <c r="C316" s="1499"/>
      <c r="D316" s="1499"/>
      <c r="E316" s="1499"/>
      <c r="F316" s="1499"/>
      <c r="G316" s="1499"/>
      <c r="H316" s="291"/>
      <c r="I316" s="245"/>
      <c r="J316" s="293">
        <v>488</v>
      </c>
      <c r="K316" s="15"/>
      <c r="L316" s="294" t="str">
        <f>IF(I316&gt;=0,"OK","ERROR")</f>
        <v>OK</v>
      </c>
    </row>
    <row r="317" spans="1:19" ht="21.6" customHeight="1" x14ac:dyDescent="0.2">
      <c r="A317" s="297" t="s">
        <v>896</v>
      </c>
      <c r="B317" s="1550" t="s">
        <v>897</v>
      </c>
      <c r="C317" s="1550"/>
      <c r="D317" s="1550"/>
      <c r="E317" s="1550"/>
      <c r="F317" s="1550"/>
      <c r="G317" s="1550"/>
      <c r="H317" s="291"/>
      <c r="I317" s="245"/>
      <c r="J317" s="293">
        <v>592</v>
      </c>
      <c r="K317" s="15"/>
      <c r="L317" s="294" t="str">
        <f>IF(I317&gt;=0,"OK","ERROR")</f>
        <v>OK</v>
      </c>
      <c r="N317" s="117"/>
    </row>
    <row r="318" spans="1:19" ht="21.6" customHeight="1" thickBot="1" x14ac:dyDescent="0.25">
      <c r="A318" s="297" t="s">
        <v>898</v>
      </c>
      <c r="B318" s="1550" t="s">
        <v>899</v>
      </c>
      <c r="C318" s="1550"/>
      <c r="D318" s="1550"/>
      <c r="E318" s="1550"/>
      <c r="F318" s="1550"/>
      <c r="G318" s="1550"/>
      <c r="H318" s="291"/>
      <c r="I318" s="344">
        <f>IF(OR(I194=0,I317=0),0,(I317/(I194/0.08))*(I316/I317))</f>
        <v>0</v>
      </c>
      <c r="J318" s="293">
        <v>593</v>
      </c>
      <c r="K318" s="15"/>
      <c r="L318" s="294" t="str">
        <f>IF(I318&gt;=0,"OK","ERROR")</f>
        <v>OK</v>
      </c>
    </row>
    <row r="319" spans="1:19" ht="21.6" customHeight="1" thickTop="1" thickBot="1" x14ac:dyDescent="0.25">
      <c r="A319" s="297" t="s">
        <v>900</v>
      </c>
      <c r="B319" s="1499" t="s">
        <v>901</v>
      </c>
      <c r="C319" s="1499"/>
      <c r="D319" s="1499"/>
      <c r="E319" s="1499"/>
      <c r="F319" s="1499"/>
      <c r="G319" s="1499"/>
      <c r="H319" s="291"/>
      <c r="I319" s="292">
        <f>I308+I313+I316</f>
        <v>0</v>
      </c>
      <c r="J319" s="293">
        <v>489</v>
      </c>
      <c r="K319" s="15"/>
      <c r="L319"/>
    </row>
    <row r="320" spans="1:19" ht="35.85" customHeight="1" thickTop="1" thickBot="1" x14ac:dyDescent="0.25">
      <c r="A320" s="298" t="s">
        <v>902</v>
      </c>
      <c r="B320" s="1498" t="s">
        <v>2227</v>
      </c>
      <c r="C320" s="1499"/>
      <c r="D320" s="1499"/>
      <c r="E320" s="1499"/>
      <c r="F320" s="1499"/>
      <c r="G320" s="1499"/>
      <c r="H320" s="291"/>
      <c r="I320" s="292">
        <f>SUM((I319)+(I194/(8/100)*(I321+I322)))</f>
        <v>0</v>
      </c>
      <c r="J320" s="293">
        <v>490</v>
      </c>
      <c r="K320" s="15"/>
      <c r="L320"/>
    </row>
    <row r="321" spans="1:12" ht="21.6" customHeight="1" thickTop="1" thickBot="1" x14ac:dyDescent="0.25">
      <c r="A321" s="297" t="s">
        <v>903</v>
      </c>
      <c r="B321" s="1499" t="s">
        <v>2228</v>
      </c>
      <c r="C321" s="1499"/>
      <c r="D321" s="1499"/>
      <c r="E321" s="1499"/>
      <c r="F321" s="1499"/>
      <c r="G321" s="1499"/>
      <c r="H321" s="291"/>
      <c r="I321" s="344">
        <f>0.015+IF(OR(I307=1,I307=2),0.5%,IF(I307=3,0.3%,IF(I307=4,0.1%,IF(I307=5,0%,-0.015))))</f>
        <v>0</v>
      </c>
      <c r="J321" s="293">
        <v>491</v>
      </c>
      <c r="K321" s="15"/>
      <c r="L321" s="294" t="str">
        <f>IF(I321&gt;0,"OK","ERROR")</f>
        <v>ERROR</v>
      </c>
    </row>
    <row r="322" spans="1:12" ht="21.6" customHeight="1" thickTop="1" x14ac:dyDescent="0.2">
      <c r="A322" s="297" t="s">
        <v>904</v>
      </c>
      <c r="B322" s="1550" t="s">
        <v>905</v>
      </c>
      <c r="C322" s="1550"/>
      <c r="D322" s="1550"/>
      <c r="E322" s="1550"/>
      <c r="F322" s="1550"/>
      <c r="G322" s="1550"/>
      <c r="H322" s="291"/>
      <c r="I322" s="345"/>
      <c r="J322" s="293">
        <v>594</v>
      </c>
      <c r="K322" s="15"/>
      <c r="L322"/>
    </row>
    <row r="323" spans="1:12" ht="35.85" customHeight="1" thickBot="1" x14ac:dyDescent="0.25">
      <c r="A323" s="298" t="s">
        <v>906</v>
      </c>
      <c r="B323" s="1498" t="s">
        <v>2229</v>
      </c>
      <c r="C323" s="1499"/>
      <c r="D323" s="1499"/>
      <c r="E323" s="1499"/>
      <c r="F323" s="1499"/>
      <c r="G323" s="1499"/>
      <c r="H323" s="291"/>
      <c r="I323" s="292">
        <f>SUM((I320)+(I194/(8/100)*(I324+I325)))</f>
        <v>0</v>
      </c>
      <c r="J323" s="293">
        <v>492</v>
      </c>
      <c r="K323" s="15"/>
      <c r="L323"/>
    </row>
    <row r="324" spans="1:12" ht="21.6" customHeight="1" thickTop="1" thickBot="1" x14ac:dyDescent="0.25">
      <c r="A324" s="297" t="s">
        <v>907</v>
      </c>
      <c r="B324" s="1499" t="s">
        <v>2230</v>
      </c>
      <c r="C324" s="1499"/>
      <c r="D324" s="1499"/>
      <c r="E324" s="1499"/>
      <c r="F324" s="1499"/>
      <c r="G324" s="1499"/>
      <c r="H324" s="291"/>
      <c r="I324" s="344">
        <f>0.02+IF(OR(I307=1,I307=2),0.6%,IF(I307=3,0.4%,IF(I307=4,0.2%,IF(I307=5,0%,-0.02))))</f>
        <v>0</v>
      </c>
      <c r="J324" s="293">
        <v>493</v>
      </c>
      <c r="K324" s="15"/>
      <c r="L324" s="294" t="str">
        <f>IF(I324&gt;0,"OK","ERROR")</f>
        <v>ERROR</v>
      </c>
    </row>
    <row r="325" spans="1:12" ht="21.6" customHeight="1" thickTop="1" x14ac:dyDescent="0.2">
      <c r="A325" s="297" t="s">
        <v>908</v>
      </c>
      <c r="B325" s="1541" t="s">
        <v>909</v>
      </c>
      <c r="C325" s="1541"/>
      <c r="D325" s="1541"/>
      <c r="E325" s="1541"/>
      <c r="F325" s="1541"/>
      <c r="G325" s="1541"/>
      <c r="H325" s="291"/>
      <c r="I325" s="345"/>
      <c r="J325" s="293">
        <v>595</v>
      </c>
      <c r="K325" s="15"/>
    </row>
    <row r="326" spans="1:12" ht="41.25" customHeight="1" thickBot="1" x14ac:dyDescent="0.3">
      <c r="A326" s="324" t="s">
        <v>910</v>
      </c>
      <c r="B326" s="1552" t="s">
        <v>911</v>
      </c>
      <c r="C326" s="1552"/>
      <c r="D326" s="1552"/>
      <c r="E326" s="1552"/>
      <c r="F326" s="1552"/>
      <c r="G326" s="1552"/>
      <c r="H326" s="291"/>
      <c r="I326" s="292">
        <f>I327+I332</f>
        <v>0</v>
      </c>
      <c r="J326" s="293">
        <v>494</v>
      </c>
      <c r="K326" s="15"/>
    </row>
    <row r="327" spans="1:12" ht="21.6" customHeight="1" thickTop="1" x14ac:dyDescent="0.2">
      <c r="A327" s="297" t="s">
        <v>912</v>
      </c>
      <c r="B327" s="1504" t="s">
        <v>913</v>
      </c>
      <c r="C327" s="1504"/>
      <c r="D327" s="1504"/>
      <c r="E327" s="1504"/>
      <c r="F327" s="1504"/>
      <c r="G327" s="1504"/>
      <c r="H327" s="291"/>
      <c r="I327" s="245"/>
      <c r="J327" s="293">
        <v>495</v>
      </c>
      <c r="K327" s="15"/>
      <c r="L327" s="294" t="str">
        <f>IF(I327&gt;=0,"OK","ERROR")</f>
        <v>OK</v>
      </c>
    </row>
    <row r="328" spans="1:12" ht="21.6" customHeight="1" x14ac:dyDescent="0.2">
      <c r="A328" s="297"/>
      <c r="B328" s="1502" t="s">
        <v>556</v>
      </c>
      <c r="C328" s="1502"/>
      <c r="D328" s="1502"/>
      <c r="E328" s="1502"/>
      <c r="F328" s="1502"/>
      <c r="G328" s="1502"/>
      <c r="H328" s="291"/>
      <c r="I328" s="309"/>
      <c r="J328" s="293"/>
      <c r="K328" s="15"/>
    </row>
    <row r="329" spans="1:12" ht="21.6" customHeight="1" x14ac:dyDescent="0.2">
      <c r="A329" s="297" t="s">
        <v>914</v>
      </c>
      <c r="B329" s="1504" t="s">
        <v>915</v>
      </c>
      <c r="C329" s="1504"/>
      <c r="D329" s="1504"/>
      <c r="E329" s="1504"/>
      <c r="F329" s="1504"/>
      <c r="G329" s="1504"/>
      <c r="H329" s="291"/>
      <c r="I329" s="245"/>
      <c r="J329" s="293">
        <v>496</v>
      </c>
      <c r="K329" s="15"/>
      <c r="L329" s="294" t="str">
        <f>IF(AND(I329&gt;=0,I329&lt;=$I$327),"OK","ERROR")</f>
        <v>OK</v>
      </c>
    </row>
    <row r="330" spans="1:12" ht="21.6" customHeight="1" x14ac:dyDescent="0.2">
      <c r="A330" s="297" t="s">
        <v>916</v>
      </c>
      <c r="B330" s="1499" t="s">
        <v>917</v>
      </c>
      <c r="C330" s="1499"/>
      <c r="D330" s="1499"/>
      <c r="E330" s="1499"/>
      <c r="F330" s="1499"/>
      <c r="G330" s="1499"/>
      <c r="H330" s="291"/>
      <c r="I330" s="245"/>
      <c r="J330" s="293">
        <v>497</v>
      </c>
      <c r="K330" s="15"/>
      <c r="L330" s="294" t="str">
        <f>IF(AND(I330&gt;=0,I330&lt;=$I$327),"OK","ERROR")</f>
        <v>OK</v>
      </c>
    </row>
    <row r="331" spans="1:12" ht="21.6" customHeight="1" x14ac:dyDescent="0.2">
      <c r="A331" s="297" t="s">
        <v>918</v>
      </c>
      <c r="B331" s="1499" t="s">
        <v>919</v>
      </c>
      <c r="C331" s="1499"/>
      <c r="D331" s="1499"/>
      <c r="E331" s="1499"/>
      <c r="F331" s="1499"/>
      <c r="G331" s="1499"/>
      <c r="H331" s="291"/>
      <c r="I331" s="245"/>
      <c r="J331" s="293">
        <v>498</v>
      </c>
      <c r="K331" s="15"/>
      <c r="L331" s="294" t="str">
        <f>IF(AND(I331&gt;=0,I331&lt;=$I$327),"OK","ERROR")</f>
        <v>OK</v>
      </c>
    </row>
    <row r="332" spans="1:12" ht="21.6" customHeight="1" x14ac:dyDescent="0.2">
      <c r="A332" s="297" t="s">
        <v>920</v>
      </c>
      <c r="B332" s="1499" t="s">
        <v>921</v>
      </c>
      <c r="C332" s="1499"/>
      <c r="D332" s="1499"/>
      <c r="E332" s="1499"/>
      <c r="F332" s="1499"/>
      <c r="G332" s="1499"/>
      <c r="H332" s="291"/>
      <c r="I332" s="245"/>
      <c r="J332" s="293">
        <v>499</v>
      </c>
      <c r="K332" s="15"/>
      <c r="L332" s="294" t="str">
        <f>IF(I332&gt;=0,"OK","ERROR")</f>
        <v>OK</v>
      </c>
    </row>
    <row r="333" spans="1:12" ht="21.6" customHeight="1" x14ac:dyDescent="0.2">
      <c r="A333" s="297" t="s">
        <v>922</v>
      </c>
      <c r="B333" s="1504" t="s">
        <v>923</v>
      </c>
      <c r="C333" s="1504"/>
      <c r="D333" s="1504"/>
      <c r="E333" s="1504"/>
      <c r="F333" s="1504"/>
      <c r="G333" s="1504"/>
      <c r="H333" s="291"/>
      <c r="I333" s="245"/>
      <c r="J333" s="293">
        <v>500</v>
      </c>
      <c r="K333" s="15"/>
      <c r="L333" s="294" t="str">
        <f>IF(AND(I333&gt;=0,I333&lt;=$I$332),"OK","ERROR")</f>
        <v>OK</v>
      </c>
    </row>
    <row r="334" spans="1:12" ht="21.6" customHeight="1" x14ac:dyDescent="0.2">
      <c r="A334" s="297" t="s">
        <v>924</v>
      </c>
      <c r="B334" s="1499" t="s">
        <v>925</v>
      </c>
      <c r="C334" s="1499"/>
      <c r="D334" s="1499"/>
      <c r="E334" s="1499"/>
      <c r="F334" s="1499"/>
      <c r="G334" s="1499"/>
      <c r="H334" s="291"/>
      <c r="I334" s="245"/>
      <c r="J334" s="293">
        <v>501</v>
      </c>
      <c r="K334" s="15"/>
      <c r="L334" s="294" t="str">
        <f>IF(AND(I334&gt;=0,I334&lt;=$I$332),"OK","ERROR")</f>
        <v>OK</v>
      </c>
    </row>
    <row r="335" spans="1:12" ht="21.6" customHeight="1" x14ac:dyDescent="0.2">
      <c r="A335" s="297" t="s">
        <v>926</v>
      </c>
      <c r="B335" s="1499" t="s">
        <v>927</v>
      </c>
      <c r="C335" s="1499"/>
      <c r="D335" s="1499"/>
      <c r="E335" s="1499"/>
      <c r="F335" s="1499"/>
      <c r="G335" s="1499"/>
      <c r="H335" s="291"/>
      <c r="I335" s="245"/>
      <c r="J335" s="293">
        <v>502</v>
      </c>
      <c r="K335" s="15"/>
      <c r="L335" s="294" t="str">
        <f>IF(AND(I335&gt;=0,I335&lt;=$I$332),"OK","ERROR")</f>
        <v>OK</v>
      </c>
    </row>
    <row r="336" spans="1:12" ht="21.6" customHeight="1" x14ac:dyDescent="0.2">
      <c r="A336" s="297" t="s">
        <v>928</v>
      </c>
      <c r="B336" s="1504" t="s">
        <v>929</v>
      </c>
      <c r="C336" s="1504"/>
      <c r="D336" s="1504"/>
      <c r="E336" s="1504"/>
      <c r="F336" s="1504"/>
      <c r="G336" s="1504"/>
      <c r="H336" s="291"/>
      <c r="I336" s="245"/>
      <c r="J336" s="293">
        <v>503</v>
      </c>
      <c r="K336" s="15"/>
      <c r="L336" s="294" t="str">
        <f>IF(I336&gt;=0,"OK","ERROR")</f>
        <v>OK</v>
      </c>
    </row>
    <row r="337" spans="1:12" ht="21.6" customHeight="1" x14ac:dyDescent="0.2">
      <c r="A337" s="297" t="s">
        <v>930</v>
      </c>
      <c r="B337" s="1499" t="s">
        <v>931</v>
      </c>
      <c r="C337" s="1499"/>
      <c r="D337" s="1499"/>
      <c r="E337" s="1499"/>
      <c r="F337" s="1499"/>
      <c r="G337" s="1499"/>
      <c r="H337" s="291"/>
      <c r="I337" s="245"/>
      <c r="J337" s="293">
        <v>504</v>
      </c>
      <c r="K337" s="15"/>
      <c r="L337" s="294" t="str">
        <f>IF(I337&gt;=0,"OK","ERROR")</f>
        <v>OK</v>
      </c>
    </row>
    <row r="338" spans="1:12" ht="21.6" customHeight="1" x14ac:dyDescent="0.2">
      <c r="A338" s="297" t="s">
        <v>932</v>
      </c>
      <c r="B338" s="1499" t="s">
        <v>933</v>
      </c>
      <c r="C338" s="1499"/>
      <c r="D338" s="1499"/>
      <c r="E338" s="1499"/>
      <c r="F338" s="1499"/>
      <c r="G338" s="1499"/>
      <c r="H338" s="291"/>
      <c r="I338" s="245"/>
      <c r="J338" s="293">
        <v>505</v>
      </c>
      <c r="K338" s="15"/>
      <c r="L338" s="294" t="str">
        <f>IF(I338&gt;=0,"OK","ERROR")</f>
        <v>OK</v>
      </c>
    </row>
    <row r="339" spans="1:12" ht="21.6" customHeight="1" x14ac:dyDescent="0.2">
      <c r="A339" s="297" t="s">
        <v>934</v>
      </c>
      <c r="B339" s="1499" t="s">
        <v>935</v>
      </c>
      <c r="C339" s="1499"/>
      <c r="D339" s="1499"/>
      <c r="E339" s="1499"/>
      <c r="F339" s="1499"/>
      <c r="G339" s="1499"/>
      <c r="H339" s="291"/>
      <c r="I339" s="245"/>
      <c r="J339" s="293">
        <v>506</v>
      </c>
      <c r="K339" s="15"/>
      <c r="L339" s="294" t="str">
        <f>IF(I339&gt;=0,"OK","ERROR")</f>
        <v>OK</v>
      </c>
    </row>
    <row r="340" spans="1:12" ht="21.6" customHeight="1" x14ac:dyDescent="0.2">
      <c r="A340" s="297" t="s">
        <v>936</v>
      </c>
      <c r="B340" s="1499" t="s">
        <v>937</v>
      </c>
      <c r="C340" s="1499"/>
      <c r="D340" s="1499"/>
      <c r="E340" s="1499"/>
      <c r="F340" s="1499"/>
      <c r="G340" s="1499"/>
      <c r="H340" s="291"/>
      <c r="I340" s="245"/>
      <c r="J340" s="293">
        <v>507</v>
      </c>
      <c r="K340" s="15"/>
      <c r="L340" s="294" t="str">
        <f>IF(I340&gt;=0,"OK","ERROR")</f>
        <v>OK</v>
      </c>
    </row>
    <row r="341" spans="1:12" ht="41.25" customHeight="1" x14ac:dyDescent="0.25">
      <c r="A341" s="324" t="s">
        <v>938</v>
      </c>
      <c r="B341" s="1552" t="s">
        <v>939</v>
      </c>
      <c r="C341" s="1552"/>
      <c r="D341" s="1552"/>
      <c r="E341" s="1552"/>
      <c r="F341" s="1552"/>
      <c r="G341" s="1552"/>
      <c r="H341" s="291"/>
      <c r="I341" s="245"/>
      <c r="J341" s="293">
        <v>508</v>
      </c>
      <c r="K341" s="15"/>
      <c r="L341" s="294" t="str">
        <f>IF(I341&lt;=0,"OK","ERROR")</f>
        <v>OK</v>
      </c>
    </row>
    <row r="342" spans="1:12" ht="21.6" customHeight="1" x14ac:dyDescent="0.2">
      <c r="A342" s="297"/>
      <c r="B342" s="1502" t="s">
        <v>940</v>
      </c>
      <c r="C342" s="1502"/>
      <c r="D342" s="1502"/>
      <c r="E342" s="1502"/>
      <c r="F342" s="1502"/>
      <c r="G342" s="1502"/>
      <c r="H342" s="291"/>
      <c r="I342" s="309"/>
      <c r="J342" s="293"/>
      <c r="K342" s="15"/>
    </row>
    <row r="343" spans="1:12" ht="21.6" customHeight="1" x14ac:dyDescent="0.2">
      <c r="A343" s="297" t="s">
        <v>941</v>
      </c>
      <c r="B343" s="1504" t="s">
        <v>942</v>
      </c>
      <c r="C343" s="1504"/>
      <c r="D343" s="1504"/>
      <c r="E343" s="1504"/>
      <c r="F343" s="1504"/>
      <c r="G343" s="1504"/>
      <c r="H343" s="291"/>
      <c r="I343" s="245"/>
      <c r="J343" s="293">
        <v>509</v>
      </c>
      <c r="K343" s="15"/>
      <c r="L343" s="294" t="str">
        <f>IF(AND(I343&lt;=0,I343&gt;=$I$341),"OK","ERROR")</f>
        <v>OK</v>
      </c>
    </row>
    <row r="344" spans="1:12" ht="21.6" customHeight="1" x14ac:dyDescent="0.2">
      <c r="A344" s="297" t="s">
        <v>943</v>
      </c>
      <c r="B344" s="1499" t="s">
        <v>944</v>
      </c>
      <c r="C344" s="1499"/>
      <c r="D344" s="1499"/>
      <c r="E344" s="1499"/>
      <c r="F344" s="1499"/>
      <c r="G344" s="1499"/>
      <c r="H344" s="291"/>
      <c r="I344" s="245"/>
      <c r="J344" s="293">
        <v>510</v>
      </c>
      <c r="K344" s="15"/>
      <c r="L344" s="294" t="str">
        <f>IF(AND(I344&lt;=0,I344&gt;=$I$341),"OK","ERROR")</f>
        <v>OK</v>
      </c>
    </row>
    <row r="345" spans="1:12" ht="21.6" customHeight="1" x14ac:dyDescent="0.2">
      <c r="A345" s="297" t="s">
        <v>945</v>
      </c>
      <c r="B345" s="1499" t="s">
        <v>946</v>
      </c>
      <c r="C345" s="1499"/>
      <c r="D345" s="1499"/>
      <c r="E345" s="1499"/>
      <c r="F345" s="1499"/>
      <c r="G345" s="1499"/>
      <c r="H345" s="291"/>
      <c r="I345" s="245"/>
      <c r="J345" s="293">
        <v>511</v>
      </c>
      <c r="K345" s="15"/>
      <c r="L345" s="294" t="str">
        <f>IF(AND(I345&lt;=0,I345&gt;=$I$341),"OK","ERROR")</f>
        <v>OK</v>
      </c>
    </row>
    <row r="346" spans="1:12" ht="41.25" customHeight="1" x14ac:dyDescent="0.25">
      <c r="A346" s="324" t="s">
        <v>947</v>
      </c>
      <c r="B346" s="1547" t="s">
        <v>948</v>
      </c>
      <c r="C346" s="1547"/>
      <c r="D346" s="1547"/>
      <c r="E346" s="1547"/>
      <c r="F346" s="1547"/>
      <c r="G346" s="1547"/>
      <c r="H346" s="291"/>
      <c r="I346" s="309"/>
      <c r="J346" s="293"/>
      <c r="K346" s="15"/>
    </row>
    <row r="347" spans="1:12" ht="21.6" customHeight="1" thickBot="1" x14ac:dyDescent="0.25">
      <c r="A347" s="297" t="s">
        <v>949</v>
      </c>
      <c r="B347" s="1504" t="s">
        <v>950</v>
      </c>
      <c r="C347" s="1504"/>
      <c r="D347" s="1504"/>
      <c r="E347" s="1504"/>
      <c r="F347" s="1504"/>
      <c r="G347" s="1504"/>
      <c r="H347" s="291"/>
      <c r="I347" s="292">
        <f>I319+I329+I333+I343</f>
        <v>0</v>
      </c>
      <c r="J347" s="293">
        <v>512</v>
      </c>
      <c r="K347" s="15"/>
      <c r="L347" s="294" t="str">
        <f>IF(I347&gt;=0,"OK","ERROR")</f>
        <v>OK</v>
      </c>
    </row>
    <row r="348" spans="1:12" ht="21.6" customHeight="1" thickTop="1" thickBot="1" x14ac:dyDescent="0.25">
      <c r="A348" s="297" t="s">
        <v>951</v>
      </c>
      <c r="B348" s="1499" t="s">
        <v>952</v>
      </c>
      <c r="C348" s="1499"/>
      <c r="D348" s="1499"/>
      <c r="E348" s="1499"/>
      <c r="F348" s="1499"/>
      <c r="G348" s="1499"/>
      <c r="H348" s="291"/>
      <c r="I348" s="292">
        <f>I320+I329+I330+I333+I334+I343+I344</f>
        <v>0</v>
      </c>
      <c r="J348" s="293">
        <v>513</v>
      </c>
      <c r="K348" s="15"/>
      <c r="L348" s="294" t="str">
        <f>IF(I348&gt;=0,"OK","ERROR")</f>
        <v>OK</v>
      </c>
    </row>
    <row r="349" spans="1:12" ht="21.6" customHeight="1" thickTop="1" thickBot="1" x14ac:dyDescent="0.25">
      <c r="A349" s="297" t="s">
        <v>953</v>
      </c>
      <c r="B349" s="1499" t="s">
        <v>954</v>
      </c>
      <c r="C349" s="1499"/>
      <c r="D349" s="1499"/>
      <c r="E349" s="1499"/>
      <c r="F349" s="1499"/>
      <c r="G349" s="1499"/>
      <c r="H349" s="291"/>
      <c r="I349" s="347">
        <f>I323+I326+I341</f>
        <v>0</v>
      </c>
      <c r="J349" s="293">
        <v>514</v>
      </c>
      <c r="K349" s="15"/>
      <c r="L349" s="294" t="str">
        <f>IF(I349&gt;=0,"OK","ERROR")</f>
        <v>OK</v>
      </c>
    </row>
    <row r="350" spans="1:12" ht="41.25" customHeight="1" thickTop="1" x14ac:dyDescent="0.25">
      <c r="A350" s="295" t="s">
        <v>955</v>
      </c>
      <c r="B350" s="1553" t="s">
        <v>956</v>
      </c>
      <c r="C350" s="1547"/>
      <c r="D350" s="1547"/>
      <c r="E350" s="1547"/>
      <c r="F350" s="1547"/>
      <c r="G350" s="1547"/>
      <c r="H350" s="291"/>
      <c r="I350" s="309"/>
      <c r="J350" s="293"/>
      <c r="K350" s="15"/>
    </row>
    <row r="351" spans="1:12" ht="21.6" customHeight="1" x14ac:dyDescent="0.2">
      <c r="A351" s="297" t="s">
        <v>957</v>
      </c>
      <c r="B351" s="1504" t="s">
        <v>958</v>
      </c>
      <c r="C351" s="1504"/>
      <c r="D351" s="1504"/>
      <c r="E351" s="1504"/>
      <c r="F351" s="1504"/>
      <c r="G351" s="1504"/>
      <c r="H351" s="291"/>
      <c r="I351" s="245"/>
      <c r="J351" s="293">
        <v>515</v>
      </c>
      <c r="K351" s="15"/>
      <c r="L351" s="294" t="str">
        <f>IF(I351&gt;=0,"OK","ERROR")</f>
        <v>OK</v>
      </c>
    </row>
    <row r="352" spans="1:12" ht="21.6" customHeight="1" x14ac:dyDescent="0.2">
      <c r="A352" s="297" t="s">
        <v>959</v>
      </c>
      <c r="B352" s="1499" t="s">
        <v>960</v>
      </c>
      <c r="C352" s="1499"/>
      <c r="D352" s="1499"/>
      <c r="E352" s="1499"/>
      <c r="F352" s="1499"/>
      <c r="G352" s="1499"/>
      <c r="H352" s="291"/>
      <c r="I352" s="245"/>
      <c r="J352" s="293">
        <v>516</v>
      </c>
      <c r="K352" s="15"/>
      <c r="L352" s="294" t="str">
        <f>IF(I352&gt;=0,"OK","ERROR")</f>
        <v>OK</v>
      </c>
    </row>
    <row r="353" spans="1:15" ht="41.25" customHeight="1" x14ac:dyDescent="0.25">
      <c r="A353" s="295" t="s">
        <v>961</v>
      </c>
      <c r="B353" s="1554" t="s">
        <v>962</v>
      </c>
      <c r="C353" s="1552"/>
      <c r="D353" s="1552"/>
      <c r="E353" s="1552"/>
      <c r="F353" s="1552"/>
      <c r="G353" s="1552"/>
      <c r="H353" s="291"/>
      <c r="I353" s="245"/>
      <c r="J353" s="293">
        <v>517</v>
      </c>
      <c r="K353" s="15"/>
      <c r="L353" s="294" t="str">
        <f>IF(I353&gt;=0,"OK","ERROR")</f>
        <v>OK</v>
      </c>
    </row>
    <row r="354" spans="1:15" ht="7.5" customHeight="1" x14ac:dyDescent="0.2">
      <c r="A354" s="348"/>
      <c r="B354" s="1555"/>
      <c r="C354" s="1555"/>
      <c r="D354" s="1555"/>
      <c r="E354" s="1555"/>
      <c r="F354" s="1555"/>
      <c r="G354" s="1555"/>
      <c r="H354" s="312"/>
      <c r="I354" s="323"/>
      <c r="J354" s="221"/>
      <c r="K354" s="9"/>
      <c r="L354" s="285"/>
    </row>
    <row r="355" spans="1:15" ht="7.5" customHeight="1" x14ac:dyDescent="0.2">
      <c r="A355" s="304"/>
      <c r="B355" s="1556"/>
      <c r="C355" s="1556"/>
      <c r="D355" s="1556"/>
      <c r="E355" s="1556"/>
      <c r="F355" s="1556"/>
      <c r="G355" s="1556"/>
      <c r="H355" s="291"/>
      <c r="I355" s="314"/>
      <c r="J355" s="319"/>
      <c r="K355" s="15"/>
      <c r="L355" s="285"/>
    </row>
    <row r="356" spans="1:15" ht="42.75" customHeight="1" x14ac:dyDescent="0.25">
      <c r="A356" s="290" t="s">
        <v>963</v>
      </c>
      <c r="B356" s="1548" t="s">
        <v>964</v>
      </c>
      <c r="C356" s="1548"/>
      <c r="D356" s="1548"/>
      <c r="E356" s="1548"/>
      <c r="F356" s="1548"/>
      <c r="G356" s="1548"/>
      <c r="H356" s="291"/>
      <c r="I356" s="317"/>
      <c r="J356" s="319"/>
      <c r="K356" s="15"/>
      <c r="L356" s="285"/>
    </row>
    <row r="357" spans="1:15" s="350" customFormat="1" ht="41.25" customHeight="1" x14ac:dyDescent="0.25">
      <c r="A357" s="295" t="s">
        <v>965</v>
      </c>
      <c r="B357" s="1557" t="s">
        <v>966</v>
      </c>
      <c r="C357" s="1529"/>
      <c r="D357" s="1529"/>
      <c r="E357" s="1529"/>
      <c r="F357" s="1529"/>
      <c r="G357" s="1529"/>
      <c r="H357" s="349"/>
      <c r="I357" s="317"/>
      <c r="J357" s="319"/>
      <c r="K357"/>
      <c r="L357" s="285"/>
      <c r="M357"/>
      <c r="N357" s="1"/>
      <c r="O357" s="1"/>
    </row>
    <row r="358" spans="1:15" ht="21.6" customHeight="1" x14ac:dyDescent="0.2">
      <c r="A358" s="297" t="s">
        <v>967</v>
      </c>
      <c r="B358" s="1504" t="s">
        <v>968</v>
      </c>
      <c r="C358" s="1504"/>
      <c r="D358" s="1504"/>
      <c r="E358" s="1504"/>
      <c r="F358" s="1504"/>
      <c r="G358" s="1504"/>
      <c r="H358" s="291"/>
      <c r="I358" s="351">
        <f>I179</f>
        <v>0</v>
      </c>
      <c r="J358" s="293"/>
      <c r="K358" s="15"/>
      <c r="L358" s="285"/>
    </row>
    <row r="359" spans="1:15" ht="21.6" customHeight="1" x14ac:dyDescent="0.2">
      <c r="A359" s="297" t="s">
        <v>969</v>
      </c>
      <c r="B359" s="1504" t="s">
        <v>970</v>
      </c>
      <c r="C359" s="1504"/>
      <c r="D359" s="1504"/>
      <c r="E359" s="1504"/>
      <c r="F359" s="1504"/>
      <c r="G359" s="1504"/>
      <c r="H359" s="291"/>
      <c r="I359" s="352" t="e">
        <f>I358/I$376</f>
        <v>#DIV/0!</v>
      </c>
      <c r="J359" s="293"/>
      <c r="K359" s="15"/>
      <c r="L359" s="285"/>
    </row>
    <row r="360" spans="1:15" ht="21.6" customHeight="1" x14ac:dyDescent="0.2">
      <c r="A360" s="297" t="s">
        <v>971</v>
      </c>
      <c r="B360" s="1504" t="s">
        <v>972</v>
      </c>
      <c r="C360" s="1504"/>
      <c r="D360" s="1504"/>
      <c r="E360" s="1504"/>
      <c r="F360" s="1504"/>
      <c r="G360" s="1504"/>
      <c r="H360" s="291"/>
      <c r="I360" s="351">
        <f>I181</f>
        <v>0</v>
      </c>
      <c r="J360" s="293"/>
      <c r="K360" s="15"/>
      <c r="L360" s="285"/>
    </row>
    <row r="361" spans="1:15" ht="21.6" customHeight="1" x14ac:dyDescent="0.2">
      <c r="A361" s="297" t="s">
        <v>973</v>
      </c>
      <c r="B361" s="1504" t="s">
        <v>974</v>
      </c>
      <c r="C361" s="1504"/>
      <c r="D361" s="1504"/>
      <c r="E361" s="1504"/>
      <c r="F361" s="1504"/>
      <c r="G361" s="1504"/>
      <c r="H361" s="291"/>
      <c r="I361" s="352" t="e">
        <f>I360/I$376</f>
        <v>#DIV/0!</v>
      </c>
      <c r="J361" s="293"/>
      <c r="K361" s="15"/>
      <c r="L361" s="285"/>
    </row>
    <row r="362" spans="1:15" ht="21.6" customHeight="1" x14ac:dyDescent="0.2">
      <c r="A362" s="297" t="s">
        <v>969</v>
      </c>
      <c r="B362" s="1504" t="s">
        <v>975</v>
      </c>
      <c r="C362" s="1504"/>
      <c r="D362" s="1504"/>
      <c r="E362" s="1504"/>
      <c r="F362" s="1504"/>
      <c r="G362" s="1504"/>
      <c r="H362" s="291"/>
      <c r="I362" s="351">
        <f>I182</f>
        <v>0</v>
      </c>
      <c r="J362" s="293"/>
      <c r="K362" s="15"/>
      <c r="L362" s="285"/>
    </row>
    <row r="363" spans="1:15" ht="21.6" customHeight="1" x14ac:dyDescent="0.2">
      <c r="A363" s="297" t="s">
        <v>971</v>
      </c>
      <c r="B363" s="1504" t="s">
        <v>976</v>
      </c>
      <c r="C363" s="1504"/>
      <c r="D363" s="1504"/>
      <c r="E363" s="1504"/>
      <c r="F363" s="1504"/>
      <c r="G363" s="1504"/>
      <c r="H363" s="291"/>
      <c r="I363" s="352" t="e">
        <f>I362/I$376</f>
        <v>#DIV/0!</v>
      </c>
      <c r="J363" s="293"/>
      <c r="K363" s="15"/>
      <c r="L363" s="285"/>
    </row>
    <row r="364" spans="1:15" ht="21.6" customHeight="1" x14ac:dyDescent="0.2">
      <c r="A364" s="297" t="s">
        <v>973</v>
      </c>
      <c r="B364" s="1504" t="s">
        <v>977</v>
      </c>
      <c r="C364" s="1504"/>
      <c r="D364" s="1504"/>
      <c r="E364" s="1504"/>
      <c r="F364" s="1504"/>
      <c r="G364" s="1504"/>
      <c r="H364" s="291"/>
      <c r="I364" s="351">
        <f>I184</f>
        <v>0</v>
      </c>
      <c r="J364" s="293"/>
      <c r="K364" s="15"/>
      <c r="L364" s="285"/>
    </row>
    <row r="365" spans="1:15" ht="21.6" customHeight="1" x14ac:dyDescent="0.2">
      <c r="A365" s="297" t="s">
        <v>978</v>
      </c>
      <c r="B365" s="1504" t="s">
        <v>979</v>
      </c>
      <c r="C365" s="1504"/>
      <c r="D365" s="1504"/>
      <c r="E365" s="1504"/>
      <c r="F365" s="1504"/>
      <c r="G365" s="1504"/>
      <c r="H365" s="291"/>
      <c r="I365" s="352" t="e">
        <f>I364/I$376</f>
        <v>#DIV/0!</v>
      </c>
      <c r="J365" s="293"/>
      <c r="K365" s="15"/>
      <c r="L365" s="285"/>
    </row>
    <row r="366" spans="1:15" ht="21.6" customHeight="1" x14ac:dyDescent="0.2">
      <c r="A366" s="297" t="s">
        <v>980</v>
      </c>
      <c r="B366" s="1504" t="s">
        <v>981</v>
      </c>
      <c r="C366" s="1504"/>
      <c r="D366" s="1504"/>
      <c r="E366" s="1504"/>
      <c r="F366" s="1504"/>
      <c r="G366" s="1504"/>
      <c r="H366" s="291"/>
      <c r="I366" s="351">
        <f>I185</f>
        <v>0</v>
      </c>
      <c r="J366" s="293"/>
      <c r="K366" s="15"/>
      <c r="L366" s="285"/>
    </row>
    <row r="367" spans="1:15" ht="21.6" customHeight="1" x14ac:dyDescent="0.2">
      <c r="A367" s="297" t="s">
        <v>982</v>
      </c>
      <c r="B367" s="1504" t="s">
        <v>983</v>
      </c>
      <c r="C367" s="1504"/>
      <c r="D367" s="1504"/>
      <c r="E367" s="1504"/>
      <c r="F367" s="1504"/>
      <c r="G367" s="1504"/>
      <c r="H367" s="291"/>
      <c r="I367" s="352" t="e">
        <f>I366/I$376</f>
        <v>#DIV/0!</v>
      </c>
      <c r="J367" s="293"/>
      <c r="K367" s="15"/>
      <c r="L367" s="285"/>
    </row>
    <row r="368" spans="1:15" ht="41.25" customHeight="1" x14ac:dyDescent="0.25">
      <c r="A368" s="295" t="s">
        <v>984</v>
      </c>
      <c r="B368" s="1554" t="s">
        <v>985</v>
      </c>
      <c r="C368" s="1552"/>
      <c r="D368" s="1552"/>
      <c r="E368" s="1552"/>
      <c r="F368" s="1552"/>
      <c r="G368" s="1552"/>
      <c r="H368" s="291"/>
      <c r="I368" s="351">
        <f>I194</f>
        <v>0</v>
      </c>
      <c r="J368" s="293"/>
      <c r="K368" s="15"/>
      <c r="L368" s="285"/>
    </row>
    <row r="369" spans="1:13" ht="21.6" customHeight="1" x14ac:dyDescent="0.2">
      <c r="A369" s="331" t="s">
        <v>986</v>
      </c>
      <c r="B369" s="1504" t="s">
        <v>987</v>
      </c>
      <c r="C369" s="1504"/>
      <c r="D369" s="1504"/>
      <c r="E369" s="1504"/>
      <c r="F369" s="1504"/>
      <c r="G369" s="1504"/>
      <c r="H369" s="291"/>
      <c r="I369" s="351">
        <f>I195+I293</f>
        <v>0</v>
      </c>
      <c r="J369" s="293"/>
      <c r="K369" s="15"/>
      <c r="L369" s="285"/>
    </row>
    <row r="370" spans="1:13" s="502" customFormat="1" ht="21.6" customHeight="1" x14ac:dyDescent="0.2">
      <c r="A370" s="550" t="s">
        <v>988</v>
      </c>
      <c r="B370" s="1535" t="s">
        <v>989</v>
      </c>
      <c r="C370" s="1535"/>
      <c r="D370" s="1535"/>
      <c r="E370" s="1535"/>
      <c r="F370" s="1535"/>
      <c r="G370" s="1535"/>
      <c r="H370" s="231"/>
      <c r="I370" s="611">
        <f>I262</f>
        <v>0</v>
      </c>
      <c r="J370" s="361"/>
      <c r="K370" s="510"/>
      <c r="L370" s="704"/>
      <c r="M370" s="462"/>
    </row>
    <row r="371" spans="1:13" ht="21.6" customHeight="1" x14ac:dyDescent="0.2">
      <c r="A371" s="331" t="s">
        <v>990</v>
      </c>
      <c r="B371" s="1504" t="s">
        <v>991</v>
      </c>
      <c r="C371" s="1504"/>
      <c r="D371" s="1504"/>
      <c r="E371" s="1504"/>
      <c r="F371" s="1504"/>
      <c r="G371" s="1504"/>
      <c r="H371" s="291"/>
      <c r="I371" s="351">
        <f>I265</f>
        <v>0</v>
      </c>
      <c r="J371" s="293"/>
      <c r="K371" s="15"/>
      <c r="L371" s="285"/>
    </row>
    <row r="372" spans="1:13" ht="21.6" customHeight="1" x14ac:dyDescent="0.2">
      <c r="A372" s="331" t="s">
        <v>992</v>
      </c>
      <c r="B372" s="1504" t="s">
        <v>993</v>
      </c>
      <c r="C372" s="1504"/>
      <c r="D372" s="1504"/>
      <c r="E372" s="1504"/>
      <c r="F372" s="1504"/>
      <c r="G372" s="1504"/>
      <c r="H372" s="291"/>
      <c r="I372" s="351">
        <f>I285</f>
        <v>0</v>
      </c>
      <c r="J372" s="293"/>
      <c r="K372" s="15"/>
      <c r="L372" s="285"/>
    </row>
    <row r="373" spans="1:13" ht="21.6" customHeight="1" x14ac:dyDescent="0.2">
      <c r="A373" s="331" t="s">
        <v>994</v>
      </c>
      <c r="B373" s="1504" t="s">
        <v>995</v>
      </c>
      <c r="C373" s="1504"/>
      <c r="D373" s="1504"/>
      <c r="E373" s="1504"/>
      <c r="F373" s="1504"/>
      <c r="G373" s="1504"/>
      <c r="H373" s="291"/>
      <c r="I373" s="351">
        <f>I289</f>
        <v>0</v>
      </c>
      <c r="J373" s="293"/>
      <c r="K373" s="15"/>
      <c r="L373" s="285"/>
    </row>
    <row r="374" spans="1:13" s="502" customFormat="1" ht="21.6" customHeight="1" x14ac:dyDescent="0.2">
      <c r="A374" s="550" t="s">
        <v>996</v>
      </c>
      <c r="B374" s="1535" t="s">
        <v>997</v>
      </c>
      <c r="C374" s="1535"/>
      <c r="D374" s="1535"/>
      <c r="E374" s="1535"/>
      <c r="F374" s="1535"/>
      <c r="G374" s="1535"/>
      <c r="H374" s="231"/>
      <c r="I374" s="611">
        <f>I290</f>
        <v>0</v>
      </c>
      <c r="J374" s="361"/>
      <c r="K374" s="510"/>
      <c r="L374" s="704"/>
      <c r="M374" s="462"/>
    </row>
    <row r="375" spans="1:13" s="502" customFormat="1" ht="21.6" customHeight="1" x14ac:dyDescent="0.2">
      <c r="A375" s="550" t="s">
        <v>998</v>
      </c>
      <c r="B375" s="1535" t="s">
        <v>999</v>
      </c>
      <c r="C375" s="1535"/>
      <c r="D375" s="1535"/>
      <c r="E375" s="1535"/>
      <c r="F375" s="1535"/>
      <c r="G375" s="1535"/>
      <c r="H375" s="231"/>
      <c r="I375" s="611">
        <f>I291+I292</f>
        <v>0</v>
      </c>
      <c r="J375" s="361"/>
      <c r="K375" s="510"/>
      <c r="L375" s="704"/>
      <c r="M375" s="462"/>
    </row>
    <row r="376" spans="1:13" ht="21.6" customHeight="1" x14ac:dyDescent="0.2">
      <c r="A376" s="331" t="s">
        <v>1000</v>
      </c>
      <c r="B376" s="1504" t="s">
        <v>1001</v>
      </c>
      <c r="C376" s="1504"/>
      <c r="D376" s="1504"/>
      <c r="E376" s="1504"/>
      <c r="F376" s="1504"/>
      <c r="G376" s="1504"/>
      <c r="H376" s="291"/>
      <c r="I376" s="351">
        <f>12.5*I368</f>
        <v>0</v>
      </c>
      <c r="J376" s="293"/>
      <c r="K376" s="15"/>
      <c r="L376" s="285"/>
    </row>
    <row r="377" spans="1:13" ht="41.25" customHeight="1" x14ac:dyDescent="0.25">
      <c r="A377" s="295" t="s">
        <v>1002</v>
      </c>
      <c r="B377" s="1553" t="s">
        <v>1003</v>
      </c>
      <c r="C377" s="1547"/>
      <c r="D377" s="1547"/>
      <c r="E377" s="1547"/>
      <c r="F377" s="1547"/>
      <c r="G377" s="1547"/>
      <c r="H377" s="291"/>
      <c r="I377" s="353"/>
      <c r="J377" s="319"/>
      <c r="K377"/>
      <c r="L377" s="285"/>
    </row>
    <row r="378" spans="1:13" ht="21.6" customHeight="1" x14ac:dyDescent="0.2">
      <c r="A378" s="297" t="s">
        <v>1004</v>
      </c>
      <c r="B378" s="1504" t="s">
        <v>1005</v>
      </c>
      <c r="C378" s="1504"/>
      <c r="D378" s="1504"/>
      <c r="E378" s="1504"/>
      <c r="F378" s="1504"/>
      <c r="G378" s="1504"/>
      <c r="H378" s="291"/>
      <c r="I378" s="351">
        <f>I358-4.5%*I376</f>
        <v>0</v>
      </c>
      <c r="J378" s="293"/>
      <c r="K378" s="15"/>
      <c r="L378" s="285"/>
    </row>
    <row r="379" spans="1:13" ht="21.6" customHeight="1" x14ac:dyDescent="0.2">
      <c r="A379" s="297" t="s">
        <v>1006</v>
      </c>
      <c r="B379" s="1504" t="s">
        <v>1007</v>
      </c>
      <c r="C379" s="1504"/>
      <c r="D379" s="1504"/>
      <c r="E379" s="1504"/>
      <c r="F379" s="1504"/>
      <c r="G379" s="1504"/>
      <c r="H379" s="291"/>
      <c r="I379" s="351">
        <f>I362-6%*I376</f>
        <v>0</v>
      </c>
      <c r="J379" s="293"/>
      <c r="K379" s="15"/>
      <c r="L379" s="285"/>
    </row>
    <row r="380" spans="1:13" ht="21.6" customHeight="1" x14ac:dyDescent="0.2">
      <c r="A380" s="297" t="s">
        <v>1008</v>
      </c>
      <c r="B380" s="1504" t="s">
        <v>1009</v>
      </c>
      <c r="C380" s="1504"/>
      <c r="D380" s="1504"/>
      <c r="E380" s="1504"/>
      <c r="F380" s="1504"/>
      <c r="G380" s="1504"/>
      <c r="H380" s="291"/>
      <c r="I380" s="351">
        <f>I366-8%*I376</f>
        <v>0</v>
      </c>
      <c r="J380" s="293"/>
      <c r="K380" s="15"/>
      <c r="L380" s="285"/>
    </row>
    <row r="381" spans="1:13" ht="41.25" customHeight="1" x14ac:dyDescent="0.25">
      <c r="A381" s="295" t="s">
        <v>1010</v>
      </c>
      <c r="B381" s="1553" t="s">
        <v>1011</v>
      </c>
      <c r="C381" s="1547"/>
      <c r="D381" s="1547"/>
      <c r="E381" s="1547"/>
      <c r="F381" s="1547"/>
      <c r="G381" s="1547"/>
      <c r="H381" s="291"/>
      <c r="I381" s="353"/>
      <c r="J381" s="319"/>
      <c r="K381" s="15"/>
      <c r="L381" s="285"/>
    </row>
    <row r="382" spans="1:13" ht="21.6" customHeight="1" x14ac:dyDescent="0.2">
      <c r="A382" s="297" t="s">
        <v>1012</v>
      </c>
      <c r="B382" s="1504" t="s">
        <v>1013</v>
      </c>
      <c r="C382" s="1504"/>
      <c r="D382" s="1504"/>
      <c r="E382" s="1504"/>
      <c r="F382" s="1504"/>
      <c r="G382" s="1504"/>
      <c r="H382" s="291"/>
      <c r="I382" s="352" t="e">
        <f>I358/I376</f>
        <v>#DIV/0!</v>
      </c>
      <c r="J382" s="293"/>
      <c r="K382" s="15"/>
      <c r="L382" s="285"/>
    </row>
    <row r="383" spans="1:13" ht="21.6" customHeight="1" x14ac:dyDescent="0.2">
      <c r="A383" s="297" t="s">
        <v>1014</v>
      </c>
      <c r="B383" s="1504" t="s">
        <v>1015</v>
      </c>
      <c r="C383" s="1504"/>
      <c r="D383" s="1504"/>
      <c r="E383" s="1504"/>
      <c r="F383" s="1504"/>
      <c r="G383" s="1504"/>
      <c r="H383" s="291"/>
      <c r="I383" s="352" t="e">
        <f>I362/I376</f>
        <v>#DIV/0!</v>
      </c>
      <c r="J383" s="293"/>
      <c r="K383" s="15"/>
      <c r="L383" s="285"/>
    </row>
    <row r="384" spans="1:13" ht="21.6" customHeight="1" x14ac:dyDescent="0.2">
      <c r="A384" s="297" t="s">
        <v>1016</v>
      </c>
      <c r="B384" s="1504" t="s">
        <v>1017</v>
      </c>
      <c r="C384" s="1504"/>
      <c r="D384" s="1504"/>
      <c r="E384" s="1504"/>
      <c r="F384" s="1504"/>
      <c r="G384" s="1504"/>
      <c r="H384" s="291"/>
      <c r="I384" s="352" t="e">
        <f>I366/I376</f>
        <v>#DIV/0!</v>
      </c>
      <c r="J384" s="293"/>
      <c r="K384" s="15"/>
      <c r="L384" s="285"/>
    </row>
    <row r="385" spans="1:12" ht="41.25" customHeight="1" x14ac:dyDescent="0.25">
      <c r="A385" s="295" t="s">
        <v>1018</v>
      </c>
      <c r="B385" s="1553" t="s">
        <v>1019</v>
      </c>
      <c r="C385" s="1547"/>
      <c r="D385" s="1547"/>
      <c r="E385" s="1547"/>
      <c r="F385" s="1547"/>
      <c r="G385" s="1547"/>
      <c r="H385" s="291"/>
      <c r="I385" s="353"/>
      <c r="J385" s="319"/>
      <c r="K385" s="15"/>
      <c r="L385" s="285"/>
    </row>
    <row r="386" spans="1:12" ht="21.6" customHeight="1" x14ac:dyDescent="0.2">
      <c r="A386" s="331" t="s">
        <v>1020</v>
      </c>
      <c r="B386" s="1504" t="s">
        <v>1021</v>
      </c>
      <c r="C386" s="1504"/>
      <c r="D386" s="1504"/>
      <c r="E386" s="1504"/>
      <c r="F386" s="1504"/>
      <c r="G386" s="1504"/>
      <c r="H386" s="291"/>
      <c r="I386" s="354">
        <v>4.4999999999999998E-2</v>
      </c>
      <c r="J386" s="293"/>
      <c r="K386" s="15"/>
      <c r="L386" s="285"/>
    </row>
    <row r="387" spans="1:12" ht="35.85" customHeight="1" x14ac:dyDescent="0.2">
      <c r="A387" s="328" t="s">
        <v>1022</v>
      </c>
      <c r="B387" s="1503" t="s">
        <v>1023</v>
      </c>
      <c r="C387" s="1504"/>
      <c r="D387" s="1504"/>
      <c r="E387" s="1504"/>
      <c r="F387" s="1504"/>
      <c r="G387" s="1504"/>
      <c r="H387" s="291"/>
      <c r="I387" s="352">
        <f>2.5%</f>
        <v>2.5000000000000001E-2</v>
      </c>
      <c r="J387" s="293"/>
      <c r="K387" s="15"/>
      <c r="L387" s="285"/>
    </row>
    <row r="388" spans="1:12" ht="35.85" customHeight="1" x14ac:dyDescent="0.2">
      <c r="A388" s="328" t="s">
        <v>1024</v>
      </c>
      <c r="B388" s="1503" t="s">
        <v>1025</v>
      </c>
      <c r="C388" s="1504"/>
      <c r="D388" s="1504"/>
      <c r="E388" s="1504"/>
      <c r="F388" s="1504"/>
      <c r="G388" s="1504"/>
      <c r="H388" s="291"/>
      <c r="I388" s="352">
        <f>I318</f>
        <v>0</v>
      </c>
      <c r="J388" s="293"/>
      <c r="K388" s="15"/>
      <c r="L388" s="285"/>
    </row>
    <row r="389" spans="1:12" ht="35.85" customHeight="1" x14ac:dyDescent="0.2">
      <c r="A389" s="328" t="s">
        <v>1026</v>
      </c>
      <c r="B389" s="1503" t="s">
        <v>1027</v>
      </c>
      <c r="C389" s="1504"/>
      <c r="D389" s="1504"/>
      <c r="E389" s="1504"/>
      <c r="F389" s="1504"/>
      <c r="G389" s="1504"/>
      <c r="H389" s="291"/>
      <c r="I389" s="345"/>
      <c r="J389" s="293">
        <v>596</v>
      </c>
      <c r="K389" s="15"/>
      <c r="L389" s="294" t="str">
        <f>IF(I307=1,IF(AND(I389&gt;=0,I389&lt;=0.035),"ok","ERROR"),IF(I389&lt;&gt;0,"ERROR","OK"))</f>
        <v>OK</v>
      </c>
    </row>
    <row r="390" spans="1:12" ht="21.6" customHeight="1" x14ac:dyDescent="0.2">
      <c r="A390" s="331" t="s">
        <v>1028</v>
      </c>
      <c r="B390" s="1504" t="s">
        <v>1029</v>
      </c>
      <c r="C390" s="1504"/>
      <c r="D390" s="1504"/>
      <c r="E390" s="1504"/>
      <c r="F390" s="1504"/>
      <c r="G390" s="1504"/>
      <c r="H390" s="291"/>
      <c r="I390" s="352">
        <f>SUM(I386:I388)</f>
        <v>7.0000000000000007E-2</v>
      </c>
      <c r="J390" s="293"/>
      <c r="K390" s="15"/>
      <c r="L390" s="285"/>
    </row>
    <row r="391" spans="1:12" ht="35.85" customHeight="1" x14ac:dyDescent="0.2">
      <c r="A391" s="328" t="s">
        <v>1030</v>
      </c>
      <c r="B391" s="1498" t="s">
        <v>1031</v>
      </c>
      <c r="C391" s="1498"/>
      <c r="D391" s="1498"/>
      <c r="E391" s="1498"/>
      <c r="F391" s="1498"/>
      <c r="G391" s="1498"/>
      <c r="H391" s="291"/>
      <c r="I391" s="352">
        <f>SUM(I387:I389)</f>
        <v>2.5000000000000001E-2</v>
      </c>
      <c r="J391" s="293"/>
      <c r="K391" s="15"/>
      <c r="L391" s="285"/>
    </row>
    <row r="392" spans="1:12" ht="21.6" customHeight="1" x14ac:dyDescent="0.2">
      <c r="A392" s="331" t="s">
        <v>1032</v>
      </c>
      <c r="B392" s="1504" t="s">
        <v>1033</v>
      </c>
      <c r="C392" s="1504"/>
      <c r="D392" s="1504"/>
      <c r="E392" s="1504"/>
      <c r="F392" s="1504"/>
      <c r="G392" s="1504"/>
      <c r="H392" s="291"/>
      <c r="I392" s="354">
        <v>0.02</v>
      </c>
      <c r="J392" s="293"/>
      <c r="K392" s="15"/>
      <c r="L392" s="285"/>
    </row>
    <row r="393" spans="1:12" ht="21.6" customHeight="1" x14ac:dyDescent="0.2">
      <c r="A393" s="331" t="s">
        <v>1034</v>
      </c>
      <c r="B393" s="1504" t="s">
        <v>1035</v>
      </c>
      <c r="C393" s="1504"/>
      <c r="D393" s="1504"/>
      <c r="E393" s="1504"/>
      <c r="F393" s="1504"/>
      <c r="G393" s="1504"/>
      <c r="H393" s="291"/>
      <c r="I393" s="352" t="e">
        <f>MIN(I392,I$364/I$376)</f>
        <v>#DIV/0!</v>
      </c>
      <c r="J393" s="293"/>
      <c r="K393" s="15"/>
      <c r="L393" s="285"/>
    </row>
    <row r="394" spans="1:12" ht="21.6" customHeight="1" x14ac:dyDescent="0.2">
      <c r="A394" s="331" t="s">
        <v>1036</v>
      </c>
      <c r="B394" s="1504" t="s">
        <v>1037</v>
      </c>
      <c r="C394" s="1504"/>
      <c r="D394" s="1504"/>
      <c r="E394" s="1504"/>
      <c r="F394" s="1504"/>
      <c r="G394" s="1504"/>
      <c r="H394" s="291"/>
      <c r="I394" s="352" t="e">
        <f>MIN(I392-I393,I$360/I$376)</f>
        <v>#DIV/0!</v>
      </c>
      <c r="J394" s="293"/>
      <c r="K394" s="15"/>
      <c r="L394" s="285"/>
    </row>
    <row r="395" spans="1:12" ht="21.6" customHeight="1" x14ac:dyDescent="0.2">
      <c r="A395" s="331" t="s">
        <v>1038</v>
      </c>
      <c r="B395" s="1504" t="s">
        <v>1039</v>
      </c>
      <c r="C395" s="1504"/>
      <c r="D395" s="1504"/>
      <c r="E395" s="1504"/>
      <c r="F395" s="1504"/>
      <c r="G395" s="1504"/>
      <c r="H395" s="291"/>
      <c r="I395" s="352" t="e">
        <f>MIN(I392-I393-I394,I$358/I$376)</f>
        <v>#DIV/0!</v>
      </c>
      <c r="J395" s="293"/>
      <c r="K395" s="15"/>
      <c r="L395" s="285"/>
    </row>
    <row r="396" spans="1:12" ht="21.6" customHeight="1" x14ac:dyDescent="0.2">
      <c r="A396" s="331" t="s">
        <v>1040</v>
      </c>
      <c r="B396" s="1504" t="s">
        <v>1041</v>
      </c>
      <c r="C396" s="1504"/>
      <c r="D396" s="1504"/>
      <c r="E396" s="1504"/>
      <c r="F396" s="1504"/>
      <c r="G396" s="1504"/>
      <c r="H396" s="291"/>
      <c r="I396" s="354">
        <v>1.2E-2</v>
      </c>
      <c r="J396" s="293"/>
      <c r="K396" s="15"/>
      <c r="L396" s="285"/>
    </row>
    <row r="397" spans="1:12" ht="21.6" customHeight="1" x14ac:dyDescent="0.2">
      <c r="A397" s="331" t="s">
        <v>1042</v>
      </c>
      <c r="B397" s="1504" t="s">
        <v>1037</v>
      </c>
      <c r="C397" s="1504"/>
      <c r="D397" s="1504"/>
      <c r="E397" s="1504"/>
      <c r="F397" s="1504"/>
      <c r="G397" s="1504"/>
      <c r="H397" s="291"/>
      <c r="I397" s="352" t="e">
        <f>MIN(I396,I$360/I$376-I394)</f>
        <v>#DIV/0!</v>
      </c>
      <c r="J397" s="293"/>
      <c r="K397" s="15"/>
      <c r="L397" s="285"/>
    </row>
    <row r="398" spans="1:12" ht="21.6" customHeight="1" x14ac:dyDescent="0.2">
      <c r="A398" s="331" t="s">
        <v>1043</v>
      </c>
      <c r="B398" s="1504" t="s">
        <v>1039</v>
      </c>
      <c r="C398" s="1504"/>
      <c r="D398" s="1504"/>
      <c r="E398" s="1504"/>
      <c r="F398" s="1504"/>
      <c r="G398" s="1504"/>
      <c r="H398" s="291"/>
      <c r="I398" s="352" t="e">
        <f>MIN(I396-I397,I$358/I$376)</f>
        <v>#DIV/0!</v>
      </c>
      <c r="J398" s="293"/>
      <c r="K398" s="15"/>
      <c r="L398" s="285"/>
    </row>
    <row r="399" spans="1:12" ht="41.25" customHeight="1" x14ac:dyDescent="0.2">
      <c r="A399" s="328" t="s">
        <v>1044</v>
      </c>
      <c r="B399" s="1498" t="s">
        <v>1045</v>
      </c>
      <c r="C399" s="1498"/>
      <c r="D399" s="1498"/>
      <c r="E399" s="1498"/>
      <c r="F399" s="1498"/>
      <c r="G399" s="1498"/>
      <c r="H399" s="291"/>
      <c r="I399" s="352" t="e">
        <f>I382-I386-I395-I398</f>
        <v>#DIV/0!</v>
      </c>
      <c r="J399" s="293"/>
      <c r="K399" s="15"/>
      <c r="L399" s="285"/>
    </row>
    <row r="400" spans="1:12" ht="41.25" customHeight="1" x14ac:dyDescent="0.25">
      <c r="A400" s="295" t="s">
        <v>1046</v>
      </c>
      <c r="B400" s="1553" t="s">
        <v>1047</v>
      </c>
      <c r="C400" s="1547"/>
      <c r="D400" s="1547"/>
      <c r="E400" s="1547"/>
      <c r="F400" s="1547"/>
      <c r="G400" s="1547"/>
      <c r="H400" s="291"/>
      <c r="I400" s="355"/>
      <c r="J400" s="319"/>
      <c r="K400" s="15"/>
      <c r="L400" s="285"/>
    </row>
    <row r="401" spans="1:12" ht="35.85" customHeight="1" x14ac:dyDescent="0.2">
      <c r="A401" s="298" t="s">
        <v>1048</v>
      </c>
      <c r="B401" s="1558" t="s">
        <v>1049</v>
      </c>
      <c r="C401" s="1558"/>
      <c r="D401" s="1558"/>
      <c r="E401" s="1558"/>
      <c r="F401" s="1558"/>
      <c r="G401" s="1558"/>
      <c r="H401" s="291"/>
      <c r="I401" s="352">
        <f>4.5%+I311+I312+I321+I322+I324+I325+I315+I318</f>
        <v>4.4999999999999998E-2</v>
      </c>
      <c r="J401" s="293"/>
      <c r="K401" s="15"/>
      <c r="L401" s="285"/>
    </row>
    <row r="402" spans="1:12" ht="35.85" customHeight="1" x14ac:dyDescent="0.2">
      <c r="A402" s="298" t="s">
        <v>1050</v>
      </c>
      <c r="B402" s="1559" t="s">
        <v>1051</v>
      </c>
      <c r="C402" s="1559"/>
      <c r="D402" s="1559"/>
      <c r="E402" s="1559"/>
      <c r="F402" s="1559"/>
      <c r="G402" s="1559"/>
      <c r="H402" s="291"/>
      <c r="I402" s="352" t="e">
        <f>I384</f>
        <v>#DIV/0!</v>
      </c>
      <c r="J402" s="293"/>
      <c r="K402" s="15"/>
      <c r="L402" s="285"/>
    </row>
    <row r="403" spans="1:12" ht="41.25" customHeight="1" x14ac:dyDescent="0.2">
      <c r="A403" s="299" t="s">
        <v>1052</v>
      </c>
      <c r="B403" s="1560" t="s">
        <v>1053</v>
      </c>
      <c r="C403" s="1560"/>
      <c r="D403" s="1560"/>
      <c r="E403" s="1560"/>
      <c r="F403" s="1560"/>
      <c r="G403" s="1560"/>
      <c r="H403" s="291"/>
      <c r="I403" s="352" t="e">
        <f>I402-I401</f>
        <v>#DIV/0!</v>
      </c>
      <c r="J403" s="293"/>
      <c r="K403" s="15"/>
      <c r="L403" s="285"/>
    </row>
    <row r="404" spans="1:12" ht="21.6" customHeight="1" x14ac:dyDescent="0.2">
      <c r="A404" s="297" t="s">
        <v>1054</v>
      </c>
      <c r="B404" s="1559" t="s">
        <v>1055</v>
      </c>
      <c r="C404" s="1559"/>
      <c r="D404" s="1559"/>
      <c r="E404" s="1559"/>
      <c r="F404" s="1559"/>
      <c r="G404" s="1559"/>
      <c r="H404" s="291"/>
      <c r="I404" s="352">
        <f>I324+I325</f>
        <v>0</v>
      </c>
      <c r="J404" s="293"/>
      <c r="K404" s="15"/>
      <c r="L404" s="285"/>
    </row>
    <row r="405" spans="1:12" ht="21.6" customHeight="1" x14ac:dyDescent="0.2">
      <c r="A405" s="297" t="s">
        <v>1056</v>
      </c>
      <c r="B405" s="1559" t="s">
        <v>1057</v>
      </c>
      <c r="C405" s="1559"/>
      <c r="D405" s="1559"/>
      <c r="E405" s="1559"/>
      <c r="F405" s="1559"/>
      <c r="G405" s="1559"/>
      <c r="H405" s="291"/>
      <c r="I405" s="352" t="e">
        <f>MIN(I404,I$364/I$376)</f>
        <v>#DIV/0!</v>
      </c>
      <c r="J405" s="293"/>
      <c r="K405" s="15"/>
      <c r="L405" s="285"/>
    </row>
    <row r="406" spans="1:12" ht="21.6" customHeight="1" x14ac:dyDescent="0.2">
      <c r="A406" s="297" t="s">
        <v>1058</v>
      </c>
      <c r="B406" s="1559" t="s">
        <v>1059</v>
      </c>
      <c r="C406" s="1559"/>
      <c r="D406" s="1559"/>
      <c r="E406" s="1559"/>
      <c r="F406" s="1559"/>
      <c r="G406" s="1559"/>
      <c r="H406" s="291"/>
      <c r="I406" s="352" t="e">
        <f>MIN(I404-I405,I$360/I$376)</f>
        <v>#DIV/0!</v>
      </c>
      <c r="J406" s="293"/>
      <c r="K406" s="15"/>
      <c r="L406" s="285"/>
    </row>
    <row r="407" spans="1:12" ht="21.6" customHeight="1" x14ac:dyDescent="0.2">
      <c r="A407" s="297" t="s">
        <v>1060</v>
      </c>
      <c r="B407" s="1559" t="s">
        <v>1061</v>
      </c>
      <c r="C407" s="1559"/>
      <c r="D407" s="1559"/>
      <c r="E407" s="1559"/>
      <c r="F407" s="1559"/>
      <c r="G407" s="1559"/>
      <c r="H407" s="291"/>
      <c r="I407" s="352" t="e">
        <f>MIN(I404-I405-I406,I$358/I$376)</f>
        <v>#DIV/0!</v>
      </c>
      <c r="J407" s="293"/>
      <c r="K407" s="15"/>
      <c r="L407" s="285"/>
    </row>
    <row r="408" spans="1:12" ht="21.6" customHeight="1" x14ac:dyDescent="0.2">
      <c r="A408" s="297" t="s">
        <v>1062</v>
      </c>
      <c r="B408" s="1559" t="s">
        <v>1063</v>
      </c>
      <c r="C408" s="1559"/>
      <c r="D408" s="1559"/>
      <c r="E408" s="1559"/>
      <c r="F408" s="1559"/>
      <c r="G408" s="1559"/>
      <c r="H408" s="291"/>
      <c r="I408" s="352">
        <f>I321+I322</f>
        <v>0</v>
      </c>
      <c r="J408" s="293"/>
      <c r="K408" s="15"/>
      <c r="L408" s="285"/>
    </row>
    <row r="409" spans="1:12" ht="21.6" customHeight="1" x14ac:dyDescent="0.2">
      <c r="A409" s="297" t="s">
        <v>1064</v>
      </c>
      <c r="B409" s="1559" t="s">
        <v>1065</v>
      </c>
      <c r="C409" s="1559"/>
      <c r="D409" s="1559"/>
      <c r="E409" s="1559"/>
      <c r="F409" s="1559"/>
      <c r="G409" s="1559"/>
      <c r="H409" s="291"/>
      <c r="I409" s="352" t="e">
        <f>MIN(I408,I$360/I$376-I406)</f>
        <v>#DIV/0!</v>
      </c>
      <c r="J409" s="293"/>
      <c r="K409" s="15"/>
      <c r="L409" s="285"/>
    </row>
    <row r="410" spans="1:12" ht="21.6" customHeight="1" x14ac:dyDescent="0.2">
      <c r="A410" s="297" t="s">
        <v>1066</v>
      </c>
      <c r="B410" s="1559" t="s">
        <v>1067</v>
      </c>
      <c r="C410" s="1559"/>
      <c r="D410" s="1559"/>
      <c r="E410" s="1559"/>
      <c r="F410" s="1559"/>
      <c r="G410" s="1559"/>
      <c r="H410" s="291"/>
      <c r="I410" s="352" t="e">
        <f>MIN(I408-I409,I$358/I$376)</f>
        <v>#DIV/0!</v>
      </c>
      <c r="J410" s="293"/>
      <c r="K410" s="15"/>
      <c r="L410" s="285"/>
    </row>
    <row r="411" spans="1:12" ht="35.85" customHeight="1" x14ac:dyDescent="0.2">
      <c r="A411" s="298" t="s">
        <v>1068</v>
      </c>
      <c r="B411" s="1559" t="s">
        <v>1069</v>
      </c>
      <c r="C411" s="1559"/>
      <c r="D411" s="1559"/>
      <c r="E411" s="1559"/>
      <c r="F411" s="1559"/>
      <c r="G411" s="1559"/>
      <c r="H411" s="291"/>
      <c r="I411" s="352">
        <f>I401-I404</f>
        <v>4.4999999999999998E-2</v>
      </c>
      <c r="J411" s="293"/>
      <c r="K411" s="15"/>
      <c r="L411" s="285"/>
    </row>
    <row r="412" spans="1:12" ht="35.85" customHeight="1" x14ac:dyDescent="0.2">
      <c r="A412" s="298" t="s">
        <v>1070</v>
      </c>
      <c r="B412" s="1559" t="s">
        <v>1071</v>
      </c>
      <c r="C412" s="1559"/>
      <c r="D412" s="1559"/>
      <c r="E412" s="1559"/>
      <c r="F412" s="1559"/>
      <c r="G412" s="1559"/>
      <c r="H412" s="291"/>
      <c r="I412" s="352" t="e">
        <f>I359+I361-I406-I407</f>
        <v>#DIV/0!</v>
      </c>
      <c r="J412" s="293"/>
      <c r="K412" s="15"/>
      <c r="L412" s="285"/>
    </row>
    <row r="413" spans="1:12" ht="41.25" customHeight="1" x14ac:dyDescent="0.2">
      <c r="A413" s="299" t="s">
        <v>1072</v>
      </c>
      <c r="B413" s="1560" t="s">
        <v>1073</v>
      </c>
      <c r="C413" s="1560"/>
      <c r="D413" s="1560"/>
      <c r="E413" s="1560"/>
      <c r="F413" s="1560"/>
      <c r="G413" s="1560"/>
      <c r="H413" s="291"/>
      <c r="I413" s="352" t="e">
        <f>I412-I411</f>
        <v>#DIV/0!</v>
      </c>
      <c r="J413" s="293"/>
      <c r="K413" s="15"/>
      <c r="L413" s="285"/>
    </row>
    <row r="414" spans="1:12" ht="35.85" customHeight="1" x14ac:dyDescent="0.2">
      <c r="A414" s="298" t="s">
        <v>1074</v>
      </c>
      <c r="B414" s="1559" t="s">
        <v>1075</v>
      </c>
      <c r="C414" s="1559"/>
      <c r="D414" s="1559"/>
      <c r="E414" s="1559"/>
      <c r="F414" s="1559"/>
      <c r="G414" s="1559"/>
      <c r="H414" s="291"/>
      <c r="I414" s="352">
        <f>I401-I404-I408</f>
        <v>4.4999999999999998E-2</v>
      </c>
      <c r="J414" s="293"/>
      <c r="K414" s="15"/>
      <c r="L414" s="285"/>
    </row>
    <row r="415" spans="1:12" ht="35.85" customHeight="1" x14ac:dyDescent="0.2">
      <c r="A415" s="298" t="s">
        <v>1076</v>
      </c>
      <c r="B415" s="1559" t="s">
        <v>1077</v>
      </c>
      <c r="C415" s="1559"/>
      <c r="D415" s="1559"/>
      <c r="E415" s="1559"/>
      <c r="F415" s="1559"/>
      <c r="G415" s="1559"/>
      <c r="H415" s="291"/>
      <c r="I415" s="352">
        <f>I315+I318</f>
        <v>0</v>
      </c>
      <c r="J415" s="293"/>
      <c r="K415" s="15"/>
      <c r="L415" s="285"/>
    </row>
    <row r="416" spans="1:12" ht="35.85" customHeight="1" x14ac:dyDescent="0.2">
      <c r="A416" s="298" t="s">
        <v>1078</v>
      </c>
      <c r="B416" s="1559" t="s">
        <v>1079</v>
      </c>
      <c r="C416" s="1559"/>
      <c r="D416" s="1559"/>
      <c r="E416" s="1559"/>
      <c r="F416" s="1559"/>
      <c r="G416" s="1559"/>
      <c r="H416" s="291"/>
      <c r="I416" s="352" t="e">
        <f>I359-I407-I410</f>
        <v>#DIV/0!</v>
      </c>
      <c r="J416" s="293"/>
      <c r="K416" s="15"/>
      <c r="L416" s="285"/>
    </row>
    <row r="417" spans="1:12" ht="41.25" customHeight="1" x14ac:dyDescent="0.2">
      <c r="A417" s="299" t="s">
        <v>1080</v>
      </c>
      <c r="B417" s="1562" t="s">
        <v>1081</v>
      </c>
      <c r="C417" s="1562"/>
      <c r="D417" s="1562"/>
      <c r="E417" s="1562"/>
      <c r="F417" s="1562"/>
      <c r="G417" s="1562"/>
      <c r="H417" s="291"/>
      <c r="I417" s="352" t="e">
        <f>I416-I414</f>
        <v>#DIV/0!</v>
      </c>
      <c r="J417" s="293"/>
      <c r="K417" s="15"/>
      <c r="L417" s="285"/>
    </row>
    <row r="418" spans="1:12" ht="41.25" customHeight="1" x14ac:dyDescent="0.2">
      <c r="A418" s="321" t="s">
        <v>1082</v>
      </c>
      <c r="B418" s="1561" t="s">
        <v>1083</v>
      </c>
      <c r="C418" s="1561"/>
      <c r="D418" s="1561"/>
      <c r="E418" s="1561"/>
      <c r="F418" s="1561"/>
      <c r="G418" s="1561"/>
      <c r="H418" s="291"/>
      <c r="I418" s="317"/>
      <c r="J418" s="319"/>
      <c r="K418" s="15"/>
      <c r="L418" s="285"/>
    </row>
    <row r="419" spans="1:12" ht="21.6" customHeight="1" x14ac:dyDescent="0.2">
      <c r="A419" s="297" t="s">
        <v>1084</v>
      </c>
      <c r="B419" s="1558" t="s">
        <v>1085</v>
      </c>
      <c r="C419" s="1558"/>
      <c r="D419" s="1558"/>
      <c r="E419" s="1558"/>
      <c r="F419" s="1558"/>
      <c r="G419" s="1558"/>
      <c r="H419" s="291"/>
      <c r="I419" s="356" t="e">
        <f>I376*I417</f>
        <v>#DIV/0!</v>
      </c>
      <c r="J419" s="293"/>
      <c r="K419" s="15"/>
      <c r="L419" s="285"/>
    </row>
    <row r="420" spans="1:12" ht="21.6" customHeight="1" x14ac:dyDescent="0.2">
      <c r="A420" s="297" t="s">
        <v>1086</v>
      </c>
      <c r="B420" s="1559" t="s">
        <v>1087</v>
      </c>
      <c r="C420" s="1559"/>
      <c r="D420" s="1559"/>
      <c r="E420" s="1559"/>
      <c r="F420" s="1559"/>
      <c r="G420" s="1559"/>
      <c r="H420" s="291"/>
      <c r="I420" s="356" t="e">
        <f>I376*I413</f>
        <v>#DIV/0!</v>
      </c>
      <c r="J420" s="293"/>
      <c r="K420" s="15"/>
      <c r="L420" s="285"/>
    </row>
    <row r="421" spans="1:12" ht="21.6" customHeight="1" x14ac:dyDescent="0.2">
      <c r="A421" s="297" t="s">
        <v>1088</v>
      </c>
      <c r="B421" s="1559" t="s">
        <v>1089</v>
      </c>
      <c r="C421" s="1559"/>
      <c r="D421" s="1559"/>
      <c r="E421" s="1559"/>
      <c r="F421" s="1559"/>
      <c r="G421" s="1559"/>
      <c r="H421" s="291"/>
      <c r="I421" s="356" t="e">
        <f>I376*I403</f>
        <v>#DIV/0!</v>
      </c>
      <c r="J421" s="293"/>
      <c r="K421" s="15"/>
      <c r="L421" s="285"/>
    </row>
    <row r="422" spans="1:12" ht="41.25" customHeight="1" x14ac:dyDescent="0.2">
      <c r="A422" s="299" t="s">
        <v>1090</v>
      </c>
      <c r="B422" s="1561" t="s">
        <v>1091</v>
      </c>
      <c r="C422" s="1561"/>
      <c r="D422" s="1561"/>
      <c r="E422" s="1561"/>
      <c r="F422" s="1561"/>
      <c r="G422" s="1561"/>
      <c r="H422" s="291"/>
      <c r="I422" s="357"/>
      <c r="J422" s="319"/>
      <c r="K422" s="15"/>
      <c r="L422" s="285"/>
    </row>
    <row r="423" spans="1:12" ht="21.6" customHeight="1" x14ac:dyDescent="0.2">
      <c r="A423" s="297" t="s">
        <v>1092</v>
      </c>
      <c r="B423" s="1558" t="s">
        <v>1093</v>
      </c>
      <c r="C423" s="1558"/>
      <c r="D423" s="1558"/>
      <c r="E423" s="1558"/>
      <c r="F423" s="1558"/>
      <c r="G423" s="1558"/>
      <c r="H423" s="291"/>
      <c r="I423" s="356">
        <f>I329+I333+I343</f>
        <v>0</v>
      </c>
      <c r="J423" s="293"/>
      <c r="K423" s="15"/>
      <c r="L423" s="285"/>
    </row>
    <row r="424" spans="1:12" ht="21.6" customHeight="1" x14ac:dyDescent="0.2">
      <c r="A424" s="297" t="s">
        <v>1094</v>
      </c>
      <c r="B424" s="1559" t="s">
        <v>1095</v>
      </c>
      <c r="C424" s="1559"/>
      <c r="D424" s="1559"/>
      <c r="E424" s="1559"/>
      <c r="F424" s="1559"/>
      <c r="G424" s="1559"/>
      <c r="H424" s="291"/>
      <c r="I424" s="356">
        <f>I330+I334+I344</f>
        <v>0</v>
      </c>
      <c r="J424" s="293"/>
      <c r="K424" s="15"/>
      <c r="L424" s="285"/>
    </row>
    <row r="425" spans="1:12" ht="21.6" customHeight="1" x14ac:dyDescent="0.2">
      <c r="A425" s="297" t="s">
        <v>1096</v>
      </c>
      <c r="B425" s="1559" t="s">
        <v>1097</v>
      </c>
      <c r="C425" s="1559"/>
      <c r="D425" s="1559"/>
      <c r="E425" s="1559"/>
      <c r="F425" s="1559"/>
      <c r="G425" s="1559"/>
      <c r="H425" s="291"/>
      <c r="I425" s="356">
        <f>I331+I335+I345</f>
        <v>0</v>
      </c>
      <c r="J425" s="293"/>
      <c r="K425" s="15"/>
      <c r="L425" s="285"/>
    </row>
    <row r="426" spans="1:12" ht="41.25" customHeight="1" x14ac:dyDescent="0.2">
      <c r="A426" s="299" t="s">
        <v>1098</v>
      </c>
      <c r="B426" s="1561" t="s">
        <v>1099</v>
      </c>
      <c r="C426" s="1561"/>
      <c r="D426" s="1561"/>
      <c r="E426" s="1561"/>
      <c r="F426" s="1561"/>
      <c r="G426" s="1561"/>
      <c r="H426" s="291"/>
      <c r="I426" s="357"/>
      <c r="J426" s="319"/>
      <c r="K426" s="15"/>
      <c r="L426" s="285"/>
    </row>
    <row r="427" spans="1:12" ht="21.6" customHeight="1" x14ac:dyDescent="0.2">
      <c r="A427" s="297" t="s">
        <v>1100</v>
      </c>
      <c r="B427" s="1558" t="s">
        <v>1101</v>
      </c>
      <c r="C427" s="1558"/>
      <c r="D427" s="1558"/>
      <c r="E427" s="1558"/>
      <c r="F427" s="1558"/>
      <c r="G427" s="1558"/>
      <c r="H427" s="291"/>
      <c r="I427" s="356" t="e">
        <f>I419-I423</f>
        <v>#DIV/0!</v>
      </c>
      <c r="J427" s="293"/>
      <c r="K427" s="15"/>
      <c r="L427" s="285"/>
    </row>
    <row r="428" spans="1:12" ht="21.6" customHeight="1" x14ac:dyDescent="0.2">
      <c r="A428" s="297" t="s">
        <v>1102</v>
      </c>
      <c r="B428" s="1559" t="s">
        <v>1103</v>
      </c>
      <c r="C428" s="1559"/>
      <c r="D428" s="1559"/>
      <c r="E428" s="1559"/>
      <c r="F428" s="1559"/>
      <c r="G428" s="1559"/>
      <c r="H428" s="291"/>
      <c r="I428" s="356" t="e">
        <f>I420-(I423+I424)</f>
        <v>#DIV/0!</v>
      </c>
      <c r="J428" s="293"/>
      <c r="K428" s="15"/>
      <c r="L428" s="285"/>
    </row>
    <row r="429" spans="1:12" ht="21.6" customHeight="1" x14ac:dyDescent="0.2">
      <c r="A429" s="297" t="s">
        <v>1104</v>
      </c>
      <c r="B429" s="1559" t="s">
        <v>1105</v>
      </c>
      <c r="C429" s="1559"/>
      <c r="D429" s="1559"/>
      <c r="E429" s="1559"/>
      <c r="F429" s="1559"/>
      <c r="G429" s="1559"/>
      <c r="H429" s="291"/>
      <c r="I429" s="356" t="e">
        <f>I421-(I423+I424+I425)</f>
        <v>#DIV/0!</v>
      </c>
      <c r="J429" s="293"/>
      <c r="K429" s="15"/>
      <c r="L429" s="285"/>
    </row>
    <row r="430" spans="1:12" ht="41.25" customHeight="1" x14ac:dyDescent="0.2">
      <c r="A430" s="1017" t="s">
        <v>1106</v>
      </c>
      <c r="B430" s="1567" t="s">
        <v>1107</v>
      </c>
      <c r="C430" s="1567"/>
      <c r="D430" s="1567"/>
      <c r="E430" s="1567"/>
      <c r="F430" s="1567"/>
      <c r="G430" s="1567"/>
      <c r="H430" s="231"/>
      <c r="I430" s="1018">
        <f>I486</f>
        <v>0</v>
      </c>
      <c r="J430" s="361"/>
      <c r="K430"/>
      <c r="L430" s="294" t="str">
        <f>IF(I430=SUM(I431:I433),"OK","ERROR")</f>
        <v>OK</v>
      </c>
    </row>
    <row r="431" spans="1:12" ht="21.6" customHeight="1" x14ac:dyDescent="0.2">
      <c r="A431" s="366" t="s">
        <v>1108</v>
      </c>
      <c r="B431" s="1565" t="s">
        <v>1109</v>
      </c>
      <c r="C431" s="1565"/>
      <c r="D431" s="1565"/>
      <c r="E431" s="1565"/>
      <c r="F431" s="1565"/>
      <c r="G431" s="1565"/>
      <c r="H431" s="231"/>
      <c r="I431" s="1019"/>
      <c r="J431" s="361">
        <v>597</v>
      </c>
      <c r="K431" s="15"/>
      <c r="L431" s="294" t="str">
        <f>IF(I431&gt;=0,"OK","ERROR")</f>
        <v>OK</v>
      </c>
    </row>
    <row r="432" spans="1:12" ht="21.6" customHeight="1" x14ac:dyDescent="0.2">
      <c r="A432" s="366" t="s">
        <v>1110</v>
      </c>
      <c r="B432" s="1563" t="s">
        <v>1111</v>
      </c>
      <c r="C432" s="1563"/>
      <c r="D432" s="1563"/>
      <c r="E432" s="1563"/>
      <c r="F432" s="1563"/>
      <c r="G432" s="1563"/>
      <c r="H432" s="231"/>
      <c r="I432" s="1019"/>
      <c r="J432" s="361">
        <v>598</v>
      </c>
      <c r="K432" s="15"/>
      <c r="L432" s="294" t="str">
        <f>IF(I432&gt;=0,"OK","ERROR")</f>
        <v>OK</v>
      </c>
    </row>
    <row r="433" spans="1:13" ht="21.6" customHeight="1" x14ac:dyDescent="0.2">
      <c r="A433" s="366" t="s">
        <v>1112</v>
      </c>
      <c r="B433" s="1563" t="s">
        <v>1113</v>
      </c>
      <c r="C433" s="1563"/>
      <c r="D433" s="1563"/>
      <c r="E433" s="1563"/>
      <c r="F433" s="1563"/>
      <c r="G433" s="1563"/>
      <c r="H433" s="231"/>
      <c r="I433" s="1019"/>
      <c r="J433" s="361">
        <v>599</v>
      </c>
      <c r="K433" s="15"/>
      <c r="L433" s="294" t="str">
        <f>IF(I433&gt;=0,"OK","ERROR")</f>
        <v>OK</v>
      </c>
    </row>
    <row r="434" spans="1:13" ht="35.85" customHeight="1" x14ac:dyDescent="0.2">
      <c r="A434" s="1315" t="s">
        <v>1114</v>
      </c>
      <c r="B434" s="1564" t="s">
        <v>1115</v>
      </c>
      <c r="C434" s="1564"/>
      <c r="D434" s="1564"/>
      <c r="E434" s="1564"/>
      <c r="F434" s="1564"/>
      <c r="G434" s="1564"/>
      <c r="H434" s="231"/>
      <c r="I434" s="1316"/>
      <c r="J434" s="1205"/>
      <c r="K434" s="15"/>
      <c r="L434" s="285"/>
    </row>
    <row r="435" spans="1:13" ht="21.6" customHeight="1" x14ac:dyDescent="0.2">
      <c r="A435" s="366" t="s">
        <v>1116</v>
      </c>
      <c r="B435" s="1565" t="s">
        <v>1101</v>
      </c>
      <c r="C435" s="1565"/>
      <c r="D435" s="1565"/>
      <c r="E435" s="1565"/>
      <c r="F435" s="1565"/>
      <c r="G435" s="1565"/>
      <c r="H435" s="231"/>
      <c r="I435" s="1018" t="e">
        <f>I427-I431</f>
        <v>#DIV/0!</v>
      </c>
      <c r="J435" s="1205"/>
      <c r="K435" s="15"/>
      <c r="L435" s="285"/>
    </row>
    <row r="436" spans="1:13" ht="21.6" customHeight="1" x14ac:dyDescent="0.2">
      <c r="A436" s="366" t="s">
        <v>1117</v>
      </c>
      <c r="B436" s="1563" t="s">
        <v>1103</v>
      </c>
      <c r="C436" s="1563"/>
      <c r="D436" s="1563"/>
      <c r="E436" s="1563"/>
      <c r="F436" s="1563"/>
      <c r="G436" s="1563"/>
      <c r="H436" s="231"/>
      <c r="I436" s="1018" t="e">
        <f>I428-(I431+I432)</f>
        <v>#DIV/0!</v>
      </c>
      <c r="J436" s="1205"/>
      <c r="K436" s="15"/>
      <c r="L436" s="285"/>
    </row>
    <row r="437" spans="1:13" ht="21.6" customHeight="1" x14ac:dyDescent="0.2">
      <c r="A437" s="366" t="s">
        <v>1118</v>
      </c>
      <c r="B437" s="1563" t="s">
        <v>1105</v>
      </c>
      <c r="C437" s="1563"/>
      <c r="D437" s="1563"/>
      <c r="E437" s="1563"/>
      <c r="F437" s="1563"/>
      <c r="G437" s="1563"/>
      <c r="H437" s="231"/>
      <c r="I437" s="1018" t="e">
        <f>I429-I430</f>
        <v>#DIV/0!</v>
      </c>
      <c r="J437" s="1205"/>
      <c r="K437" s="15"/>
      <c r="L437" s="285"/>
    </row>
    <row r="438" spans="1:13" ht="21.6" hidden="1" customHeight="1" thickTop="1" x14ac:dyDescent="0.2">
      <c r="A438" s="297"/>
      <c r="B438" s="1566"/>
      <c r="C438" s="1566"/>
      <c r="D438" s="1566"/>
      <c r="E438" s="1566"/>
      <c r="F438" s="1566"/>
      <c r="G438" s="1566"/>
      <c r="H438" s="291"/>
      <c r="I438" s="357"/>
      <c r="J438" s="319"/>
      <c r="K438" s="334"/>
      <c r="L438" s="285"/>
      <c r="M438" s="157"/>
    </row>
    <row r="439" spans="1:13" ht="41.25" customHeight="1" x14ac:dyDescent="0.25">
      <c r="A439" s="358">
        <v>4.7</v>
      </c>
      <c r="B439" s="1557" t="s">
        <v>1119</v>
      </c>
      <c r="C439" s="1529"/>
      <c r="D439" s="1529"/>
      <c r="E439" s="1529"/>
      <c r="F439" s="1529"/>
      <c r="G439" s="1529"/>
      <c r="H439" s="291"/>
      <c r="I439" s="357"/>
      <c r="J439" s="319"/>
      <c r="K439" s="15"/>
      <c r="L439" s="285"/>
    </row>
    <row r="440" spans="1:13" ht="21.6" customHeight="1" x14ac:dyDescent="0.2">
      <c r="A440" s="297" t="s">
        <v>1120</v>
      </c>
      <c r="B440" s="1569" t="s">
        <v>1121</v>
      </c>
      <c r="C440" s="1569"/>
      <c r="D440" s="1569"/>
      <c r="E440" s="1569"/>
      <c r="F440" s="1569"/>
      <c r="G440" s="1569"/>
      <c r="H440" s="291"/>
      <c r="I440" s="351"/>
      <c r="J440" s="293"/>
      <c r="K440" s="15"/>
      <c r="L440" s="285"/>
    </row>
    <row r="441" spans="1:13" ht="21.6" customHeight="1" x14ac:dyDescent="0.2">
      <c r="A441" s="297" t="s">
        <v>1122</v>
      </c>
      <c r="B441" s="1511" t="s">
        <v>1123</v>
      </c>
      <c r="C441" s="1511"/>
      <c r="D441" s="1511"/>
      <c r="E441" s="1511"/>
      <c r="F441" s="1511"/>
      <c r="G441" s="1511"/>
      <c r="H441" s="291"/>
      <c r="I441" s="351">
        <f>$I$14</f>
        <v>0</v>
      </c>
      <c r="J441" s="293"/>
      <c r="K441" s="15"/>
      <c r="L441" s="285"/>
    </row>
    <row r="442" spans="1:13" ht="21.6" customHeight="1" x14ac:dyDescent="0.2">
      <c r="A442" s="297" t="s">
        <v>1124</v>
      </c>
      <c r="B442" s="1511" t="s">
        <v>1125</v>
      </c>
      <c r="C442" s="1511"/>
      <c r="D442" s="1511"/>
      <c r="E442" s="1511"/>
      <c r="F442" s="1511"/>
      <c r="G442" s="1511"/>
      <c r="H442" s="291"/>
      <c r="I442" s="351"/>
      <c r="J442" s="293"/>
      <c r="K442" s="15"/>
      <c r="L442" s="285"/>
    </row>
    <row r="443" spans="1:13" ht="21.6" customHeight="1" x14ac:dyDescent="0.2">
      <c r="A443" s="297" t="s">
        <v>1126</v>
      </c>
      <c r="B443" s="1511" t="s">
        <v>1127</v>
      </c>
      <c r="C443" s="1511"/>
      <c r="D443" s="1511"/>
      <c r="E443" s="1511"/>
      <c r="F443" s="1511"/>
      <c r="G443" s="1511"/>
      <c r="H443" s="291"/>
      <c r="I443" s="351">
        <f>$I$13</f>
        <v>0</v>
      </c>
      <c r="J443" s="293"/>
      <c r="K443" s="15"/>
      <c r="L443" s="285"/>
    </row>
    <row r="444" spans="1:13" ht="21.6" customHeight="1" x14ac:dyDescent="0.2">
      <c r="A444" s="297" t="s">
        <v>1128</v>
      </c>
      <c r="B444" s="1511" t="s">
        <v>1129</v>
      </c>
      <c r="C444" s="1511"/>
      <c r="D444" s="1511"/>
      <c r="E444" s="1511"/>
      <c r="F444" s="1511"/>
      <c r="G444" s="1511"/>
      <c r="H444" s="291"/>
      <c r="I444" s="351"/>
      <c r="J444" s="293"/>
      <c r="K444" s="15"/>
      <c r="L444" s="285"/>
    </row>
    <row r="445" spans="1:13" ht="21.6" customHeight="1" x14ac:dyDescent="0.2">
      <c r="A445" s="297" t="s">
        <v>1130</v>
      </c>
      <c r="B445" s="1511" t="s">
        <v>1131</v>
      </c>
      <c r="C445" s="1511"/>
      <c r="D445" s="1511"/>
      <c r="E445" s="1511"/>
      <c r="F445" s="1511"/>
      <c r="G445" s="1511"/>
      <c r="H445" s="291"/>
      <c r="I445" s="351">
        <f>$I$12</f>
        <v>0</v>
      </c>
      <c r="J445" s="293"/>
      <c r="K445" s="15"/>
      <c r="L445" s="285"/>
    </row>
    <row r="446" spans="1:13" ht="21.6" customHeight="1" x14ac:dyDescent="0.2">
      <c r="A446" s="297" t="s">
        <v>1132</v>
      </c>
      <c r="B446" s="1511" t="s">
        <v>1133</v>
      </c>
      <c r="C446" s="1511"/>
      <c r="D446" s="1511"/>
      <c r="E446" s="1511"/>
      <c r="F446" s="1511"/>
      <c r="G446" s="1511"/>
      <c r="H446" s="291"/>
      <c r="I446" s="351"/>
      <c r="J446" s="293"/>
      <c r="K446" s="15"/>
      <c r="L446" s="285"/>
    </row>
    <row r="447" spans="1:13" ht="21.6" customHeight="1" x14ac:dyDescent="0.2">
      <c r="A447" s="297" t="s">
        <v>1134</v>
      </c>
      <c r="B447" s="1497" t="s">
        <v>1135</v>
      </c>
      <c r="C447" s="1497"/>
      <c r="D447" s="1497"/>
      <c r="E447" s="1497"/>
      <c r="F447" s="1497"/>
      <c r="G447" s="1497"/>
      <c r="H447" s="291"/>
      <c r="I447" s="351"/>
      <c r="J447" s="293"/>
      <c r="K447" s="15"/>
      <c r="L447" s="285"/>
    </row>
    <row r="448" spans="1:13" ht="21.6" customHeight="1" x14ac:dyDescent="0.2">
      <c r="A448" s="297" t="s">
        <v>1136</v>
      </c>
      <c r="B448" s="1511" t="s">
        <v>1137</v>
      </c>
      <c r="C448" s="1511"/>
      <c r="D448" s="1511"/>
      <c r="E448" s="1511"/>
      <c r="F448" s="1511"/>
      <c r="G448" s="1511"/>
      <c r="H448" s="291"/>
      <c r="I448" s="351">
        <f>12.5*$I$194</f>
        <v>0</v>
      </c>
      <c r="J448" s="293"/>
      <c r="K448" s="15"/>
      <c r="L448" s="285"/>
    </row>
    <row r="449" spans="1:12" ht="57.6" customHeight="1" x14ac:dyDescent="0.2">
      <c r="A449" s="359" t="s">
        <v>1138</v>
      </c>
      <c r="B449" s="1568" t="s">
        <v>1653</v>
      </c>
      <c r="C449" s="1568"/>
      <c r="D449" s="1568"/>
      <c r="E449" s="1568"/>
      <c r="F449" s="1568"/>
      <c r="G449" s="1568"/>
      <c r="H449" s="231"/>
      <c r="I449" s="611"/>
      <c r="J449" s="361"/>
      <c r="K449" s="15"/>
      <c r="L449" s="285"/>
    </row>
    <row r="450" spans="1:12" ht="21.6" customHeight="1" x14ac:dyDescent="0.2">
      <c r="A450" s="297" t="s">
        <v>1139</v>
      </c>
      <c r="B450" s="1497" t="s">
        <v>1140</v>
      </c>
      <c r="C450" s="1497"/>
      <c r="D450" s="1497"/>
      <c r="E450" s="1497"/>
      <c r="F450" s="1497"/>
      <c r="G450" s="1497"/>
      <c r="H450" s="291"/>
      <c r="I450" s="352"/>
      <c r="J450" s="293"/>
      <c r="K450" s="15"/>
      <c r="L450" s="285"/>
    </row>
    <row r="451" spans="1:12" ht="21.6" customHeight="1" x14ac:dyDescent="0.2">
      <c r="A451" s="297" t="s">
        <v>1141</v>
      </c>
      <c r="B451" s="1511" t="s">
        <v>1142</v>
      </c>
      <c r="C451" s="1511"/>
      <c r="D451" s="1511"/>
      <c r="E451" s="1511"/>
      <c r="F451" s="1511"/>
      <c r="G451" s="1511"/>
      <c r="H451" s="291"/>
      <c r="I451" s="352" t="e">
        <f>$I$382</f>
        <v>#DIV/0!</v>
      </c>
      <c r="J451" s="293"/>
      <c r="K451" s="15"/>
      <c r="L451" s="285"/>
    </row>
    <row r="452" spans="1:12" ht="21.6" customHeight="1" x14ac:dyDescent="0.2">
      <c r="A452" s="297" t="s">
        <v>1143</v>
      </c>
      <c r="B452" s="1511" t="s">
        <v>1144</v>
      </c>
      <c r="C452" s="1511"/>
      <c r="D452" s="1511"/>
      <c r="E452" s="1511"/>
      <c r="F452" s="1511"/>
      <c r="G452" s="1511"/>
      <c r="H452" s="291"/>
      <c r="I452" s="352"/>
      <c r="J452" s="293"/>
      <c r="K452" s="15"/>
      <c r="L452" s="285"/>
    </row>
    <row r="453" spans="1:12" ht="21.6" customHeight="1" x14ac:dyDescent="0.2">
      <c r="A453" s="297" t="s">
        <v>1145</v>
      </c>
      <c r="B453" s="1511" t="s">
        <v>1146</v>
      </c>
      <c r="C453" s="1511"/>
      <c r="D453" s="1511"/>
      <c r="E453" s="1511"/>
      <c r="F453" s="1511"/>
      <c r="G453" s="1511"/>
      <c r="H453" s="291"/>
      <c r="I453" s="352" t="e">
        <f>$I$383</f>
        <v>#DIV/0!</v>
      </c>
      <c r="J453" s="293"/>
      <c r="K453" s="15"/>
      <c r="L453" s="285"/>
    </row>
    <row r="454" spans="1:12" ht="21.6" customHeight="1" x14ac:dyDescent="0.2">
      <c r="A454" s="297" t="s">
        <v>1147</v>
      </c>
      <c r="B454" s="1511" t="s">
        <v>1148</v>
      </c>
      <c r="C454" s="1511"/>
      <c r="D454" s="1511"/>
      <c r="E454" s="1511"/>
      <c r="F454" s="1511"/>
      <c r="G454" s="1511"/>
      <c r="H454" s="291"/>
      <c r="I454" s="352"/>
      <c r="J454" s="293"/>
      <c r="K454" s="15"/>
      <c r="L454" s="285"/>
    </row>
    <row r="455" spans="1:12" ht="21.6" customHeight="1" x14ac:dyDescent="0.2">
      <c r="A455" s="297" t="s">
        <v>1149</v>
      </c>
      <c r="B455" s="1511" t="s">
        <v>1150</v>
      </c>
      <c r="C455" s="1511"/>
      <c r="D455" s="1511"/>
      <c r="E455" s="1511"/>
      <c r="F455" s="1511"/>
      <c r="G455" s="1511"/>
      <c r="H455" s="291"/>
      <c r="I455" s="352" t="e">
        <f>$I$384</f>
        <v>#DIV/0!</v>
      </c>
      <c r="J455" s="293"/>
      <c r="K455" s="15"/>
      <c r="L455" s="285"/>
    </row>
    <row r="456" spans="1:12" ht="21.6" customHeight="1" x14ac:dyDescent="0.2">
      <c r="A456" s="297" t="s">
        <v>1151</v>
      </c>
      <c r="B456" s="1511" t="s">
        <v>1152</v>
      </c>
      <c r="C456" s="1511"/>
      <c r="D456" s="1511"/>
      <c r="E456" s="1511"/>
      <c r="F456" s="1511"/>
      <c r="G456" s="1511"/>
      <c r="H456" s="291"/>
      <c r="I456" s="352"/>
      <c r="J456" s="293"/>
      <c r="K456" s="15"/>
      <c r="L456" s="285"/>
    </row>
    <row r="457" spans="1:12" ht="21.6" customHeight="1" x14ac:dyDescent="0.2">
      <c r="A457" s="297" t="s">
        <v>1153</v>
      </c>
      <c r="B457" s="1497" t="s">
        <v>1154</v>
      </c>
      <c r="C457" s="1497"/>
      <c r="D457" s="1497"/>
      <c r="E457" s="1497"/>
      <c r="F457" s="1497"/>
      <c r="G457" s="1497"/>
      <c r="H457" s="291"/>
      <c r="I457" s="352"/>
      <c r="J457" s="293"/>
      <c r="K457" s="15"/>
      <c r="L457" s="285"/>
    </row>
    <row r="458" spans="1:12" ht="21.6" customHeight="1" x14ac:dyDescent="0.2">
      <c r="A458" s="297" t="s">
        <v>1155</v>
      </c>
      <c r="B458" s="1511" t="s">
        <v>1156</v>
      </c>
      <c r="C458" s="1511"/>
      <c r="D458" s="1511"/>
      <c r="E458" s="1511"/>
      <c r="F458" s="1511"/>
      <c r="G458" s="1511"/>
      <c r="H458" s="291"/>
      <c r="I458" s="352">
        <f>$I$387</f>
        <v>2.5000000000000001E-2</v>
      </c>
      <c r="J458" s="293"/>
      <c r="K458" s="15"/>
      <c r="L458" s="285"/>
    </row>
    <row r="459" spans="1:12" ht="21.6" customHeight="1" x14ac:dyDescent="0.2">
      <c r="A459" s="297" t="s">
        <v>1157</v>
      </c>
      <c r="B459" s="1511" t="s">
        <v>1158</v>
      </c>
      <c r="C459" s="1511"/>
      <c r="D459" s="1511"/>
      <c r="E459" s="1511"/>
      <c r="F459" s="1511"/>
      <c r="G459" s="1511"/>
      <c r="H459" s="291"/>
      <c r="I459" s="352">
        <f>$I$388</f>
        <v>0</v>
      </c>
      <c r="J459" s="293"/>
      <c r="K459" s="15"/>
      <c r="L459" s="285"/>
    </row>
    <row r="460" spans="1:12" ht="21.6" customHeight="1" x14ac:dyDescent="0.2">
      <c r="A460" s="297" t="s">
        <v>1159</v>
      </c>
      <c r="B460" s="1511" t="s">
        <v>1160</v>
      </c>
      <c r="C460" s="1511"/>
      <c r="D460" s="1511"/>
      <c r="E460" s="1511"/>
      <c r="F460" s="1511"/>
      <c r="G460" s="1511"/>
      <c r="H460" s="291"/>
      <c r="I460" s="352">
        <f>$I$389</f>
        <v>0</v>
      </c>
      <c r="J460" s="293"/>
      <c r="K460" s="15"/>
      <c r="L460" s="285"/>
    </row>
    <row r="461" spans="1:12" ht="21.6" customHeight="1" x14ac:dyDescent="0.2">
      <c r="A461" s="297" t="s">
        <v>1161</v>
      </c>
      <c r="B461" s="1511" t="s">
        <v>1162</v>
      </c>
      <c r="C461" s="1511"/>
      <c r="D461" s="1511"/>
      <c r="E461" s="1511"/>
      <c r="F461" s="1511"/>
      <c r="G461" s="1511"/>
      <c r="H461" s="291"/>
      <c r="I461" s="352">
        <f>SUM(I458:I460)</f>
        <v>2.5000000000000001E-2</v>
      </c>
      <c r="J461" s="293"/>
      <c r="K461" s="15"/>
      <c r="L461" s="285"/>
    </row>
    <row r="462" spans="1:12" ht="21.6" customHeight="1" x14ac:dyDescent="0.2">
      <c r="A462" s="297" t="s">
        <v>1163</v>
      </c>
      <c r="B462" s="1511" t="s">
        <v>1164</v>
      </c>
      <c r="C462" s="1511"/>
      <c r="D462" s="1511"/>
      <c r="E462" s="1511"/>
      <c r="F462" s="1511"/>
      <c r="G462" s="1511"/>
      <c r="H462" s="291"/>
      <c r="I462" s="352" t="e">
        <f>I399</f>
        <v>#DIV/0!</v>
      </c>
      <c r="J462" s="293"/>
      <c r="K462" s="15"/>
      <c r="L462" s="285"/>
    </row>
    <row r="463" spans="1:12" ht="21.6" customHeight="1" x14ac:dyDescent="0.2">
      <c r="A463" s="297" t="s">
        <v>1165</v>
      </c>
      <c r="B463" s="1497" t="s">
        <v>1166</v>
      </c>
      <c r="C463" s="1497"/>
      <c r="D463" s="1497"/>
      <c r="E463" s="1497"/>
      <c r="F463" s="1497"/>
      <c r="G463" s="1497"/>
      <c r="H463" s="291"/>
      <c r="I463" s="352"/>
      <c r="J463" s="293"/>
      <c r="K463" s="15"/>
      <c r="L463" s="285"/>
    </row>
    <row r="464" spans="1:12" ht="21.6" customHeight="1" x14ac:dyDescent="0.2">
      <c r="A464" s="297" t="s">
        <v>1167</v>
      </c>
      <c r="B464" s="1511" t="s">
        <v>1168</v>
      </c>
      <c r="C464" s="1511"/>
      <c r="D464" s="1511"/>
      <c r="E464" s="1511"/>
      <c r="F464" s="1511"/>
      <c r="G464" s="1511"/>
      <c r="H464" s="291"/>
      <c r="I464" s="352">
        <f>I311+I321+I324-0.035</f>
        <v>-3.5000000000000003E-2</v>
      </c>
      <c r="J464" s="293"/>
      <c r="K464" s="15"/>
      <c r="L464" s="285"/>
    </row>
    <row r="465" spans="1:12" ht="21.6" customHeight="1" x14ac:dyDescent="0.2">
      <c r="A465" s="297" t="s">
        <v>1169</v>
      </c>
      <c r="B465" s="1511" t="s">
        <v>1170</v>
      </c>
      <c r="C465" s="1511"/>
      <c r="D465" s="1511"/>
      <c r="E465" s="1511"/>
      <c r="F465" s="1511"/>
      <c r="G465" s="1511"/>
      <c r="H465" s="291"/>
      <c r="I465" s="352">
        <f>I315+I318</f>
        <v>0</v>
      </c>
      <c r="J465" s="293"/>
      <c r="K465" s="15"/>
      <c r="L465" s="285"/>
    </row>
    <row r="466" spans="1:12" ht="21.6" customHeight="1" x14ac:dyDescent="0.2">
      <c r="A466" s="297" t="s">
        <v>1171</v>
      </c>
      <c r="B466" s="1511" t="s">
        <v>1172</v>
      </c>
      <c r="C466" s="1511"/>
      <c r="D466" s="1511"/>
      <c r="E466" s="1511"/>
      <c r="F466" s="1511"/>
      <c r="G466" s="1511"/>
      <c r="H466" s="291"/>
      <c r="I466" s="352">
        <f>I414</f>
        <v>4.4999999999999998E-2</v>
      </c>
      <c r="J466" s="293"/>
      <c r="K466" s="15"/>
      <c r="L466" s="285"/>
    </row>
    <row r="467" spans="1:12" ht="21.6" customHeight="1" x14ac:dyDescent="0.2">
      <c r="A467" s="297" t="s">
        <v>1173</v>
      </c>
      <c r="B467" s="1511" t="s">
        <v>1174</v>
      </c>
      <c r="C467" s="1511"/>
      <c r="D467" s="1511"/>
      <c r="E467" s="1511"/>
      <c r="F467" s="1511"/>
      <c r="G467" s="1511"/>
      <c r="H467" s="291"/>
      <c r="I467" s="352">
        <f>I411</f>
        <v>4.4999999999999998E-2</v>
      </c>
      <c r="J467" s="293"/>
      <c r="K467" s="15"/>
      <c r="L467" s="285"/>
    </row>
    <row r="468" spans="1:12" ht="21.6" customHeight="1" x14ac:dyDescent="0.2">
      <c r="A468" s="297" t="s">
        <v>1175</v>
      </c>
      <c r="B468" s="1511" t="s">
        <v>1176</v>
      </c>
      <c r="C468" s="1511"/>
      <c r="D468" s="1511"/>
      <c r="E468" s="1511"/>
      <c r="F468" s="1511"/>
      <c r="G468" s="1511"/>
      <c r="H468" s="291"/>
      <c r="I468" s="352">
        <f>I401</f>
        <v>4.4999999999999998E-2</v>
      </c>
      <c r="J468" s="293"/>
      <c r="K468" s="15"/>
      <c r="L468" s="285"/>
    </row>
    <row r="469" spans="1:12" ht="21.6" customHeight="1" x14ac:dyDescent="0.2">
      <c r="A469" s="297" t="s">
        <v>1177</v>
      </c>
      <c r="B469" s="1497" t="s">
        <v>1178</v>
      </c>
      <c r="C469" s="1497"/>
      <c r="D469" s="1497"/>
      <c r="E469" s="1497"/>
      <c r="F469" s="1497"/>
      <c r="G469" s="1497"/>
      <c r="H469" s="291"/>
      <c r="I469" s="352"/>
      <c r="J469" s="293"/>
      <c r="K469" s="15"/>
      <c r="L469" s="285"/>
    </row>
    <row r="470" spans="1:12" ht="21.6" customHeight="1" x14ac:dyDescent="0.2">
      <c r="A470" s="297" t="s">
        <v>1179</v>
      </c>
      <c r="B470" s="1511" t="s">
        <v>1180</v>
      </c>
      <c r="C470" s="1511"/>
      <c r="D470" s="1511"/>
      <c r="E470" s="1511"/>
      <c r="F470" s="1511"/>
      <c r="G470" s="1511"/>
      <c r="H470" s="291"/>
      <c r="I470" s="351">
        <v>0</v>
      </c>
      <c r="J470" s="293"/>
      <c r="K470" s="15"/>
      <c r="L470" s="285"/>
    </row>
    <row r="471" spans="1:12" ht="21.6" customHeight="1" x14ac:dyDescent="0.2">
      <c r="A471" s="297" t="s">
        <v>1181</v>
      </c>
      <c r="B471" s="1511" t="s">
        <v>1182</v>
      </c>
      <c r="C471" s="1511"/>
      <c r="D471" s="1511"/>
      <c r="E471" s="1511"/>
      <c r="F471" s="1511"/>
      <c r="G471" s="1511"/>
      <c r="H471" s="291"/>
      <c r="I471" s="352">
        <v>0</v>
      </c>
      <c r="J471" s="293"/>
      <c r="K471" s="15"/>
      <c r="L471" s="285"/>
    </row>
    <row r="472" spans="1:12" ht="21.6" customHeight="1" x14ac:dyDescent="0.2">
      <c r="A472" s="297" t="s">
        <v>1183</v>
      </c>
      <c r="B472" s="1511" t="s">
        <v>1184</v>
      </c>
      <c r="C472" s="1511"/>
      <c r="D472" s="1511"/>
      <c r="E472" s="1511"/>
      <c r="F472" s="1511"/>
      <c r="G472" s="1511"/>
      <c r="H472" s="291"/>
      <c r="I472" s="352"/>
      <c r="J472" s="293"/>
      <c r="K472" s="15"/>
      <c r="L472" s="285"/>
    </row>
    <row r="473" spans="1:12" ht="57.6" customHeight="1" x14ac:dyDescent="0.2">
      <c r="A473" s="359" t="s">
        <v>1185</v>
      </c>
      <c r="B473" s="1570" t="s">
        <v>1186</v>
      </c>
      <c r="C473" s="1570"/>
      <c r="D473" s="1570"/>
      <c r="E473" s="1570"/>
      <c r="F473" s="1570"/>
      <c r="G473" s="1570"/>
      <c r="H473" s="231"/>
      <c r="I473" s="360"/>
      <c r="J473" s="361">
        <v>600</v>
      </c>
      <c r="K473" s="15"/>
      <c r="L473" s="294" t="str">
        <f>IF(OR(I473="Y",I473="N"),"OK","ERROR")</f>
        <v>ERROR</v>
      </c>
    </row>
    <row r="474" spans="1:12" ht="7.5" customHeight="1" x14ac:dyDescent="0.2">
      <c r="A474" s="348"/>
      <c r="B474" s="1555"/>
      <c r="C474" s="1555"/>
      <c r="D474" s="1555"/>
      <c r="E474" s="1555"/>
      <c r="F474" s="1555"/>
      <c r="G474" s="1555"/>
      <c r="H474" s="312"/>
      <c r="I474" s="323"/>
      <c r="J474" s="221"/>
      <c r="K474" s="15"/>
      <c r="L474" s="285"/>
    </row>
    <row r="475" spans="1:12" ht="7.5" customHeight="1" x14ac:dyDescent="0.2">
      <c r="A475" s="304"/>
      <c r="B475" s="1556"/>
      <c r="C475" s="1556"/>
      <c r="D475" s="1556"/>
      <c r="E475" s="1556"/>
      <c r="F475" s="1556"/>
      <c r="G475" s="1556"/>
      <c r="H475" s="291"/>
      <c r="I475" s="314"/>
      <c r="J475" s="293"/>
      <c r="K475" s="15"/>
      <c r="L475" s="285"/>
    </row>
    <row r="476" spans="1:12" ht="42.75" customHeight="1" x14ac:dyDescent="0.25">
      <c r="A476" s="362" t="s">
        <v>1187</v>
      </c>
      <c r="B476" s="1571" t="s">
        <v>1188</v>
      </c>
      <c r="C476" s="1572"/>
      <c r="D476" s="1572"/>
      <c r="E476" s="1572"/>
      <c r="F476" s="1572"/>
      <c r="G476" s="1572"/>
      <c r="H476" s="291"/>
      <c r="I476" s="314"/>
      <c r="J476" s="293"/>
      <c r="K476" s="15"/>
      <c r="L476" s="285"/>
    </row>
    <row r="477" spans="1:12" ht="41.25" customHeight="1" x14ac:dyDescent="0.25">
      <c r="A477" s="324" t="s">
        <v>1189</v>
      </c>
      <c r="B477" s="1529" t="s">
        <v>1190</v>
      </c>
      <c r="C477" s="1529"/>
      <c r="D477" s="1529"/>
      <c r="E477" s="1529"/>
      <c r="F477" s="1529"/>
      <c r="G477" s="1529"/>
      <c r="H477" s="291"/>
      <c r="I477" s="309"/>
      <c r="J477" s="293"/>
      <c r="K477" s="15"/>
      <c r="L477" s="285"/>
    </row>
    <row r="478" spans="1:12" ht="21.6" customHeight="1" x14ac:dyDescent="0.2">
      <c r="A478" s="297" t="s">
        <v>1191</v>
      </c>
      <c r="B478" s="1504" t="s">
        <v>1192</v>
      </c>
      <c r="C478" s="1504"/>
      <c r="D478" s="1504"/>
      <c r="E478" s="1504"/>
      <c r="F478" s="1504"/>
      <c r="G478" s="1504"/>
      <c r="H478" s="291"/>
      <c r="I478" s="245"/>
      <c r="J478" s="293">
        <v>542</v>
      </c>
      <c r="K478" s="15"/>
      <c r="L478" s="294" t="str">
        <f>IF(I478&gt;=0,"OK","ERROR")</f>
        <v>OK</v>
      </c>
    </row>
    <row r="479" spans="1:12" ht="21.6" customHeight="1" x14ac:dyDescent="0.2">
      <c r="A479" s="297"/>
      <c r="B479" s="1573" t="s">
        <v>556</v>
      </c>
      <c r="C479" s="1573"/>
      <c r="D479" s="1573"/>
      <c r="E479" s="1573"/>
      <c r="F479" s="1573"/>
      <c r="G479" s="1573"/>
      <c r="H479" s="291"/>
      <c r="I479" s="309"/>
      <c r="J479" s="293"/>
      <c r="K479" s="15"/>
    </row>
    <row r="480" spans="1:12" ht="21.6" customHeight="1" x14ac:dyDescent="0.2">
      <c r="A480" s="304" t="s">
        <v>1193</v>
      </c>
      <c r="B480" s="1504" t="s">
        <v>1194</v>
      </c>
      <c r="C480" s="1504"/>
      <c r="D480" s="1504"/>
      <c r="E480" s="1504"/>
      <c r="F480" s="1504"/>
      <c r="G480" s="1504"/>
      <c r="H480" s="291"/>
      <c r="I480" s="245"/>
      <c r="J480" s="293">
        <v>543</v>
      </c>
      <c r="K480" s="15"/>
      <c r="L480" s="294" t="str">
        <f>IF(AND(I480&gt;=0,I480&lt;=$I$478),"OK","ERROR")</f>
        <v>OK</v>
      </c>
    </row>
    <row r="481" spans="1:12" ht="21.6" customHeight="1" x14ac:dyDescent="0.2">
      <c r="A481" s="304" t="s">
        <v>1195</v>
      </c>
      <c r="B481" s="1499" t="s">
        <v>1196</v>
      </c>
      <c r="C481" s="1499"/>
      <c r="D481" s="1499"/>
      <c r="E481" s="1499"/>
      <c r="F481" s="1499"/>
      <c r="G481" s="1499"/>
      <c r="H481" s="291"/>
      <c r="I481" s="245"/>
      <c r="J481" s="293">
        <v>544</v>
      </c>
      <c r="K481" s="15"/>
      <c r="L481" s="294" t="str">
        <f>IF(AND(I481&gt;=0,I481&lt;=$I$478),"OK","ERROR")</f>
        <v>OK</v>
      </c>
    </row>
    <row r="482" spans="1:12" ht="21.6" customHeight="1" x14ac:dyDescent="0.2">
      <c r="A482" s="304" t="s">
        <v>1197</v>
      </c>
      <c r="B482" s="1499" t="s">
        <v>1198</v>
      </c>
      <c r="C482" s="1499"/>
      <c r="D482" s="1499"/>
      <c r="E482" s="1499"/>
      <c r="F482" s="1499"/>
      <c r="G482" s="1499"/>
      <c r="H482" s="291"/>
      <c r="I482" s="245"/>
      <c r="J482" s="293">
        <v>545</v>
      </c>
      <c r="K482" s="15"/>
      <c r="L482" s="294" t="str">
        <f>IF(AND(I482&gt;=0,I482&lt;=$I$478),"OK","ERROR")</f>
        <v>OK</v>
      </c>
    </row>
    <row r="483" spans="1:12" ht="21.6" customHeight="1" x14ac:dyDescent="0.2">
      <c r="A483" s="297" t="s">
        <v>1199</v>
      </c>
      <c r="B483" s="1499" t="s">
        <v>1200</v>
      </c>
      <c r="C483" s="1499"/>
      <c r="D483" s="1499"/>
      <c r="E483" s="1499"/>
      <c r="F483" s="1499"/>
      <c r="G483" s="1499"/>
      <c r="H483" s="291"/>
      <c r="I483" s="245"/>
      <c r="J483" s="293">
        <v>546</v>
      </c>
      <c r="K483" s="15"/>
      <c r="L483" s="294" t="str">
        <f>IF(I483&gt;=0,"OK","ERROR")</f>
        <v>OK</v>
      </c>
    </row>
    <row r="484" spans="1:12" ht="21.6" customHeight="1" x14ac:dyDescent="0.2">
      <c r="A484" s="297" t="s">
        <v>1201</v>
      </c>
      <c r="B484" s="1499" t="s">
        <v>1202</v>
      </c>
      <c r="C484" s="1499"/>
      <c r="D484" s="1499"/>
      <c r="E484" s="1499"/>
      <c r="F484" s="1499"/>
      <c r="G484" s="1499"/>
      <c r="H484" s="291"/>
      <c r="I484" s="245"/>
      <c r="J484" s="293">
        <v>547</v>
      </c>
      <c r="K484" s="15"/>
      <c r="L484" s="294" t="str">
        <f>IF(I484&gt;=0,"OK","ERROR")</f>
        <v>OK</v>
      </c>
    </row>
    <row r="485" spans="1:12" ht="21.6" customHeight="1" x14ac:dyDescent="0.2">
      <c r="A485" s="297" t="s">
        <v>1203</v>
      </c>
      <c r="B485" s="1499" t="s">
        <v>1204</v>
      </c>
      <c r="C485" s="1499"/>
      <c r="D485" s="1499"/>
      <c r="E485" s="1499"/>
      <c r="F485" s="1499"/>
      <c r="G485" s="1499"/>
      <c r="H485" s="291"/>
      <c r="I485" s="245"/>
      <c r="J485" s="293">
        <v>548</v>
      </c>
      <c r="K485" s="15"/>
      <c r="L485" s="294" t="str">
        <f>IF(I485&gt;=0,"OK","ERROR")</f>
        <v>OK</v>
      </c>
    </row>
    <row r="486" spans="1:12" ht="41.25" customHeight="1" x14ac:dyDescent="0.25">
      <c r="A486" s="363" t="s">
        <v>1205</v>
      </c>
      <c r="B486" s="1544" t="s">
        <v>1206</v>
      </c>
      <c r="C486" s="1544"/>
      <c r="D486" s="1544"/>
      <c r="E486" s="1544"/>
      <c r="F486" s="1544"/>
      <c r="G486" s="1544"/>
      <c r="H486" s="231"/>
      <c r="I486" s="164"/>
      <c r="J486" s="361">
        <v>560</v>
      </c>
      <c r="K486" s="15"/>
      <c r="L486" s="294" t="str">
        <f>IF(I486&gt;=0,"OK","ERROR")</f>
        <v>OK</v>
      </c>
    </row>
    <row r="487" spans="1:12" ht="41.25" customHeight="1" x14ac:dyDescent="0.25">
      <c r="A487" s="363" t="s">
        <v>1207</v>
      </c>
      <c r="B487" s="1543" t="s">
        <v>1208</v>
      </c>
      <c r="C487" s="1544"/>
      <c r="D487" s="1544"/>
      <c r="E487" s="1544"/>
      <c r="F487" s="1544"/>
      <c r="G487" s="1544"/>
      <c r="H487" s="231"/>
      <c r="I487" s="164"/>
      <c r="J487" s="361">
        <v>562</v>
      </c>
      <c r="K487" s="15" t="s">
        <v>1209</v>
      </c>
      <c r="L487" s="294" t="str">
        <f>IF(I487&gt;=0,"OK","ERROR")</f>
        <v>OK</v>
      </c>
    </row>
    <row r="488" spans="1:12" ht="42.75" customHeight="1" thickBot="1" x14ac:dyDescent="0.3">
      <c r="A488" s="364" t="s">
        <v>1210</v>
      </c>
      <c r="B488" s="1543" t="s">
        <v>1211</v>
      </c>
      <c r="C488" s="1544"/>
      <c r="D488" s="1544"/>
      <c r="E488" s="1544"/>
      <c r="F488" s="1544"/>
      <c r="G488" s="1544"/>
      <c r="H488" s="231"/>
      <c r="I488" s="365">
        <f>I489-I490</f>
        <v>0</v>
      </c>
      <c r="J488" s="361">
        <v>192</v>
      </c>
      <c r="K488" s="9" t="s">
        <v>1212</v>
      </c>
      <c r="L488"/>
    </row>
    <row r="489" spans="1:12" ht="21.6" customHeight="1" thickTop="1" x14ac:dyDescent="0.2">
      <c r="A489" s="366" t="s">
        <v>1213</v>
      </c>
      <c r="B489" s="1517" t="s">
        <v>1214</v>
      </c>
      <c r="C489" s="1517"/>
      <c r="D489" s="1517"/>
      <c r="E489" s="1517"/>
      <c r="F489" s="1517"/>
      <c r="G489" s="1517"/>
      <c r="H489" s="231"/>
      <c r="I489" s="164"/>
      <c r="J489" s="361">
        <v>193</v>
      </c>
      <c r="K489" s="9" t="s">
        <v>1212</v>
      </c>
      <c r="L489" s="294" t="str">
        <f>IF(I489&gt;=0,"OK","ERROR")</f>
        <v>OK</v>
      </c>
    </row>
    <row r="490" spans="1:12" ht="21.6" customHeight="1" x14ac:dyDescent="0.2">
      <c r="A490" s="366" t="s">
        <v>1215</v>
      </c>
      <c r="B490" s="1517" t="s">
        <v>1216</v>
      </c>
      <c r="C490" s="1517"/>
      <c r="D490" s="1517"/>
      <c r="E490" s="1517"/>
      <c r="F490" s="1517"/>
      <c r="G490" s="1517"/>
      <c r="H490" s="231"/>
      <c r="I490" s="164"/>
      <c r="J490" s="361">
        <v>194</v>
      </c>
      <c r="K490" s="9" t="s">
        <v>1212</v>
      </c>
      <c r="L490" s="294" t="str">
        <f>IF(I490&gt;=0,"OK","ERROR")</f>
        <v>OK</v>
      </c>
    </row>
    <row r="491" spans="1:12" ht="41.25" customHeight="1" x14ac:dyDescent="0.25">
      <c r="A491" s="364" t="s">
        <v>1217</v>
      </c>
      <c r="B491" s="1545" t="s">
        <v>1218</v>
      </c>
      <c r="C491" s="1575"/>
      <c r="D491" s="1575"/>
      <c r="E491" s="1575"/>
      <c r="F491" s="1575"/>
      <c r="G491" s="1575"/>
      <c r="H491" s="231"/>
      <c r="I491" s="164"/>
      <c r="J491" s="361">
        <v>198</v>
      </c>
      <c r="K491" s="9" t="s">
        <v>1212</v>
      </c>
      <c r="L491"/>
    </row>
    <row r="492" spans="1:12" ht="41.25" customHeight="1" x14ac:dyDescent="0.25">
      <c r="A492" s="364" t="s">
        <v>1219</v>
      </c>
      <c r="B492" s="1528" t="s">
        <v>1220</v>
      </c>
      <c r="C492" s="1576"/>
      <c r="D492" s="1576"/>
      <c r="E492" s="1576"/>
      <c r="F492" s="1576"/>
      <c r="G492" s="1576"/>
      <c r="H492" s="231"/>
      <c r="I492" s="367"/>
      <c r="J492" s="361"/>
      <c r="K492" s="15" t="s">
        <v>1221</v>
      </c>
      <c r="L492" s="285"/>
    </row>
    <row r="493" spans="1:12" ht="21.6" customHeight="1" x14ac:dyDescent="0.2">
      <c r="A493" s="366" t="s">
        <v>1222</v>
      </c>
      <c r="B493" s="1535" t="s">
        <v>1223</v>
      </c>
      <c r="C493" s="1535"/>
      <c r="D493" s="1535"/>
      <c r="E493" s="1535"/>
      <c r="F493" s="1535"/>
      <c r="G493" s="1535"/>
      <c r="H493" s="231"/>
      <c r="I493" s="368"/>
      <c r="J493" s="361">
        <v>200</v>
      </c>
      <c r="K493" s="15" t="s">
        <v>1221</v>
      </c>
      <c r="L493" s="294" t="str">
        <f>IF(I493&lt;&gt;"",IF(I493&gt;=3,"OK","ERROR"),"ok")</f>
        <v>ok</v>
      </c>
    </row>
    <row r="494" spans="1:12" ht="21.6" customHeight="1" x14ac:dyDescent="0.2">
      <c r="A494" s="366" t="s">
        <v>1224</v>
      </c>
      <c r="B494" s="1517" t="s">
        <v>1225</v>
      </c>
      <c r="C494" s="1517"/>
      <c r="D494" s="1517"/>
      <c r="E494" s="1517"/>
      <c r="F494" s="1517"/>
      <c r="G494" s="1517"/>
      <c r="H494" s="232"/>
      <c r="I494" s="368"/>
      <c r="J494" s="361">
        <v>202</v>
      </c>
      <c r="K494" s="15" t="s">
        <v>1221</v>
      </c>
      <c r="L494" s="294" t="str">
        <f>IF(I494&lt;&gt;"",IF(I494&gt;=3,"OK","ERROR"),"ok")</f>
        <v>ok</v>
      </c>
    </row>
    <row r="495" spans="1:12" ht="7.5" customHeight="1" x14ac:dyDescent="0.2">
      <c r="A495" s="369"/>
      <c r="B495" s="1574"/>
      <c r="C495" s="1574"/>
      <c r="D495" s="1574"/>
      <c r="E495" s="1574"/>
      <c r="F495" s="1574"/>
      <c r="G495" s="1574"/>
      <c r="H495" s="12"/>
      <c r="I495" s="234"/>
      <c r="J495" s="28"/>
      <c r="K495" s="9"/>
      <c r="L495" s="285"/>
    </row>
    <row r="496" spans="1:12" ht="18.75" customHeight="1" x14ac:dyDescent="0.2">
      <c r="A496" s="370"/>
      <c r="B496" s="26" t="str">
        <f>"Version: "&amp;D506</f>
        <v>Version: 3.03.E0</v>
      </c>
      <c r="C496" s="9"/>
      <c r="D496" s="9"/>
      <c r="E496" s="9"/>
      <c r="F496" s="9"/>
      <c r="G496" s="9"/>
      <c r="H496" s="9"/>
      <c r="J496" s="235" t="s">
        <v>25</v>
      </c>
    </row>
    <row r="497" spans="1:12" x14ac:dyDescent="0.2">
      <c r="A497" s="281"/>
    </row>
    <row r="498" spans="1:12" x14ac:dyDescent="0.2">
      <c r="A498" s="371" t="s">
        <v>1226</v>
      </c>
      <c r="B498" s="1" t="s">
        <v>1227</v>
      </c>
      <c r="L498" s="285"/>
    </row>
    <row r="499" spans="1:12" x14ac:dyDescent="0.2">
      <c r="A499" s="281"/>
      <c r="B499" s="1" t="s">
        <v>1228</v>
      </c>
    </row>
    <row r="500" spans="1:12" x14ac:dyDescent="0.2">
      <c r="A500" s="281"/>
      <c r="B500" s="1" t="s">
        <v>1229</v>
      </c>
    </row>
    <row r="501" spans="1:12" x14ac:dyDescent="0.2">
      <c r="A501" s="281"/>
    </row>
    <row r="503" spans="1:12" x14ac:dyDescent="0.2">
      <c r="A503" s="372"/>
      <c r="B503" s="237"/>
      <c r="C503" s="20" t="s">
        <v>24</v>
      </c>
      <c r="D503" s="19" t="str">
        <f>I2</f>
        <v>XXXXXX</v>
      </c>
    </row>
    <row r="504" spans="1:12" x14ac:dyDescent="0.2">
      <c r="A504" s="373"/>
      <c r="B504" s="61"/>
      <c r="C504" s="9"/>
      <c r="D504" s="239" t="str">
        <f>I1</f>
        <v>P_CASABISIRB</v>
      </c>
    </row>
    <row r="505" spans="1:12" x14ac:dyDescent="0.2">
      <c r="A505" s="373"/>
      <c r="B505" s="61"/>
      <c r="C505" s="9"/>
      <c r="D505" s="239" t="str">
        <f>I3</f>
        <v>DD.MM.YYYY</v>
      </c>
    </row>
    <row r="506" spans="1:12" x14ac:dyDescent="0.2">
      <c r="A506" s="373"/>
      <c r="B506" s="61"/>
      <c r="C506" s="9"/>
      <c r="D506" s="16" t="s">
        <v>1230</v>
      </c>
    </row>
    <row r="507" spans="1:12" x14ac:dyDescent="0.2">
      <c r="A507" s="373"/>
      <c r="B507" s="61"/>
      <c r="C507" s="9"/>
      <c r="D507" s="216" t="str">
        <f>I10</f>
        <v>col. 01</v>
      </c>
    </row>
    <row r="508" spans="1:12" x14ac:dyDescent="0.2">
      <c r="A508" s="373"/>
      <c r="B508" s="61"/>
      <c r="C508" s="9"/>
      <c r="D508" s="374">
        <f>COUNTIF(K11:L494,"ERROR")</f>
        <v>13</v>
      </c>
    </row>
    <row r="509" spans="1:12" x14ac:dyDescent="0.2">
      <c r="A509" s="375"/>
      <c r="B509" s="212"/>
      <c r="C509" s="376"/>
      <c r="D509" s="377">
        <f>COUNTIF(K11:L494,"Warning")</f>
        <v>0</v>
      </c>
    </row>
    <row r="510" spans="1:12" x14ac:dyDescent="0.2">
      <c r="A510" s="281"/>
      <c r="B510" s="242"/>
      <c r="C510" s="8"/>
      <c r="D510" s="9"/>
    </row>
  </sheetData>
  <mergeCells count="483">
    <mergeCell ref="B493:G493"/>
    <mergeCell ref="B494:G494"/>
    <mergeCell ref="B495:G495"/>
    <mergeCell ref="B487:G487"/>
    <mergeCell ref="B488:G488"/>
    <mergeCell ref="B489:G489"/>
    <mergeCell ref="B490:G490"/>
    <mergeCell ref="B491:G491"/>
    <mergeCell ref="B492:G492"/>
    <mergeCell ref="B481:G481"/>
    <mergeCell ref="B482:G482"/>
    <mergeCell ref="B483:G483"/>
    <mergeCell ref="B484:G484"/>
    <mergeCell ref="B485:G485"/>
    <mergeCell ref="B486:G486"/>
    <mergeCell ref="B475:G475"/>
    <mergeCell ref="B476:G476"/>
    <mergeCell ref="B477:G477"/>
    <mergeCell ref="B478:G478"/>
    <mergeCell ref="B479:G479"/>
    <mergeCell ref="B480:G480"/>
    <mergeCell ref="B469:G469"/>
    <mergeCell ref="B470:G470"/>
    <mergeCell ref="B471:G471"/>
    <mergeCell ref="B472:G472"/>
    <mergeCell ref="B473:G473"/>
    <mergeCell ref="B474:G474"/>
    <mergeCell ref="B463:G463"/>
    <mergeCell ref="B464:G464"/>
    <mergeCell ref="B465:G465"/>
    <mergeCell ref="B466:G466"/>
    <mergeCell ref="B467:G467"/>
    <mergeCell ref="B468:G468"/>
    <mergeCell ref="B457:G457"/>
    <mergeCell ref="B458:G458"/>
    <mergeCell ref="B459:G459"/>
    <mergeCell ref="B460:G460"/>
    <mergeCell ref="B461:G461"/>
    <mergeCell ref="B462:G462"/>
    <mergeCell ref="B451:G451"/>
    <mergeCell ref="B452:G452"/>
    <mergeCell ref="B453:G453"/>
    <mergeCell ref="B454:G454"/>
    <mergeCell ref="B455:G455"/>
    <mergeCell ref="B456:G456"/>
    <mergeCell ref="B445:G445"/>
    <mergeCell ref="B446:G446"/>
    <mergeCell ref="B447:G447"/>
    <mergeCell ref="B448:G448"/>
    <mergeCell ref="B449:G449"/>
    <mergeCell ref="B450:G450"/>
    <mergeCell ref="B439:G439"/>
    <mergeCell ref="B440:G440"/>
    <mergeCell ref="B441:G441"/>
    <mergeCell ref="B442:G442"/>
    <mergeCell ref="B443:G443"/>
    <mergeCell ref="B444:G444"/>
    <mergeCell ref="B433:G433"/>
    <mergeCell ref="B434:G434"/>
    <mergeCell ref="B435:G435"/>
    <mergeCell ref="B436:G436"/>
    <mergeCell ref="B437:G437"/>
    <mergeCell ref="B438:G438"/>
    <mergeCell ref="B427:G427"/>
    <mergeCell ref="B428:G428"/>
    <mergeCell ref="B429:G429"/>
    <mergeCell ref="B430:G430"/>
    <mergeCell ref="B431:G431"/>
    <mergeCell ref="B432:G432"/>
    <mergeCell ref="B421:G421"/>
    <mergeCell ref="B422:G422"/>
    <mergeCell ref="B423:G423"/>
    <mergeCell ref="B424:G424"/>
    <mergeCell ref="B425:G425"/>
    <mergeCell ref="B426:G426"/>
    <mergeCell ref="B415:G415"/>
    <mergeCell ref="B416:G416"/>
    <mergeCell ref="B417:G417"/>
    <mergeCell ref="B418:G418"/>
    <mergeCell ref="B419:G419"/>
    <mergeCell ref="B420:G420"/>
    <mergeCell ref="B409:G409"/>
    <mergeCell ref="B410:G410"/>
    <mergeCell ref="B411:G411"/>
    <mergeCell ref="B412:G412"/>
    <mergeCell ref="B413:G413"/>
    <mergeCell ref="B414:G414"/>
    <mergeCell ref="B403:G403"/>
    <mergeCell ref="B404:G404"/>
    <mergeCell ref="B405:G405"/>
    <mergeCell ref="B406:G406"/>
    <mergeCell ref="B407:G407"/>
    <mergeCell ref="B408:G408"/>
    <mergeCell ref="B397:G397"/>
    <mergeCell ref="B398:G398"/>
    <mergeCell ref="B399:G399"/>
    <mergeCell ref="B400:G400"/>
    <mergeCell ref="B401:G401"/>
    <mergeCell ref="B402:G402"/>
    <mergeCell ref="B391:G391"/>
    <mergeCell ref="B392:G392"/>
    <mergeCell ref="B393:G393"/>
    <mergeCell ref="B394:G394"/>
    <mergeCell ref="B395:G395"/>
    <mergeCell ref="B396:G396"/>
    <mergeCell ref="B385:G385"/>
    <mergeCell ref="B386:G386"/>
    <mergeCell ref="B387:G387"/>
    <mergeCell ref="B388:G388"/>
    <mergeCell ref="B389:G389"/>
    <mergeCell ref="B390:G390"/>
    <mergeCell ref="B379:G379"/>
    <mergeCell ref="B380:G380"/>
    <mergeCell ref="B381:G381"/>
    <mergeCell ref="B382:G382"/>
    <mergeCell ref="B383:G383"/>
    <mergeCell ref="B384:G384"/>
    <mergeCell ref="B373:G373"/>
    <mergeCell ref="B374:G374"/>
    <mergeCell ref="B375:G375"/>
    <mergeCell ref="B376:G376"/>
    <mergeCell ref="B377:G377"/>
    <mergeCell ref="B378:G378"/>
    <mergeCell ref="B367:G367"/>
    <mergeCell ref="B368:G368"/>
    <mergeCell ref="B369:G369"/>
    <mergeCell ref="B370:G370"/>
    <mergeCell ref="B371:G371"/>
    <mergeCell ref="B372:G372"/>
    <mergeCell ref="B361:G361"/>
    <mergeCell ref="B362:G362"/>
    <mergeCell ref="B363:G363"/>
    <mergeCell ref="B364:G364"/>
    <mergeCell ref="B365:G365"/>
    <mergeCell ref="B366:G366"/>
    <mergeCell ref="B355:G355"/>
    <mergeCell ref="B356:G356"/>
    <mergeCell ref="B357:G357"/>
    <mergeCell ref="B358:G358"/>
    <mergeCell ref="B359:G359"/>
    <mergeCell ref="B360:G360"/>
    <mergeCell ref="B349:G349"/>
    <mergeCell ref="B350:G350"/>
    <mergeCell ref="B351:G351"/>
    <mergeCell ref="B352:G352"/>
    <mergeCell ref="B353:G353"/>
    <mergeCell ref="B354:G354"/>
    <mergeCell ref="B343:G343"/>
    <mergeCell ref="B344:G344"/>
    <mergeCell ref="B345:G345"/>
    <mergeCell ref="B346:G346"/>
    <mergeCell ref="B347:G347"/>
    <mergeCell ref="B348:G348"/>
    <mergeCell ref="B337:G337"/>
    <mergeCell ref="B338:G338"/>
    <mergeCell ref="B339:G339"/>
    <mergeCell ref="B340:G340"/>
    <mergeCell ref="B341:G341"/>
    <mergeCell ref="B342:G342"/>
    <mergeCell ref="B331:G331"/>
    <mergeCell ref="B332:G332"/>
    <mergeCell ref="B333:G333"/>
    <mergeCell ref="B334:G334"/>
    <mergeCell ref="B335:G335"/>
    <mergeCell ref="B336:G336"/>
    <mergeCell ref="B325:G325"/>
    <mergeCell ref="B326:G326"/>
    <mergeCell ref="B327:G327"/>
    <mergeCell ref="B328:G328"/>
    <mergeCell ref="B329:G329"/>
    <mergeCell ref="B330:G330"/>
    <mergeCell ref="B319:G319"/>
    <mergeCell ref="B320:G320"/>
    <mergeCell ref="B321:G321"/>
    <mergeCell ref="B322:G322"/>
    <mergeCell ref="B323:G323"/>
    <mergeCell ref="B324:G324"/>
    <mergeCell ref="B313:G313"/>
    <mergeCell ref="B314:G314"/>
    <mergeCell ref="B315:G315"/>
    <mergeCell ref="B316:G316"/>
    <mergeCell ref="B317:G317"/>
    <mergeCell ref="B318:G318"/>
    <mergeCell ref="B307:G307"/>
    <mergeCell ref="B308:G308"/>
    <mergeCell ref="B309:G309"/>
    <mergeCell ref="B310:G310"/>
    <mergeCell ref="B311:G311"/>
    <mergeCell ref="B312:G312"/>
    <mergeCell ref="O301:P301"/>
    <mergeCell ref="B302:G302"/>
    <mergeCell ref="B303:G303"/>
    <mergeCell ref="B304:G304"/>
    <mergeCell ref="B305:G305"/>
    <mergeCell ref="B306:G306"/>
    <mergeCell ref="B296:G296"/>
    <mergeCell ref="B297:G297"/>
    <mergeCell ref="B298:G298"/>
    <mergeCell ref="B299:G299"/>
    <mergeCell ref="B300:G300"/>
    <mergeCell ref="B301:G301"/>
    <mergeCell ref="B290:G290"/>
    <mergeCell ref="B291:G291"/>
    <mergeCell ref="B292:G292"/>
    <mergeCell ref="B293:G293"/>
    <mergeCell ref="B294:G294"/>
    <mergeCell ref="B295:G295"/>
    <mergeCell ref="B284:G284"/>
    <mergeCell ref="B285:G285"/>
    <mergeCell ref="B286:G286"/>
    <mergeCell ref="B287:G287"/>
    <mergeCell ref="B288:G288"/>
    <mergeCell ref="B289:G289"/>
    <mergeCell ref="B278:G278"/>
    <mergeCell ref="B279:G279"/>
    <mergeCell ref="B280:G280"/>
    <mergeCell ref="B281:G281"/>
    <mergeCell ref="B282:G282"/>
    <mergeCell ref="B283:G283"/>
    <mergeCell ref="B272:G272"/>
    <mergeCell ref="B273:G273"/>
    <mergeCell ref="B274:G274"/>
    <mergeCell ref="B275:G275"/>
    <mergeCell ref="B276:G276"/>
    <mergeCell ref="B277:G277"/>
    <mergeCell ref="B265:G265"/>
    <mergeCell ref="B266:G266"/>
    <mergeCell ref="B267:G267"/>
    <mergeCell ref="B268:G268"/>
    <mergeCell ref="B269:G269"/>
    <mergeCell ref="B271:G271"/>
    <mergeCell ref="B259:G259"/>
    <mergeCell ref="B260:G260"/>
    <mergeCell ref="B261:G261"/>
    <mergeCell ref="B262:G262"/>
    <mergeCell ref="B263:G263"/>
    <mergeCell ref="B264:G264"/>
    <mergeCell ref="B253:G253"/>
    <mergeCell ref="B254:G254"/>
    <mergeCell ref="B255:G255"/>
    <mergeCell ref="B256:G256"/>
    <mergeCell ref="B257:G257"/>
    <mergeCell ref="B258:G258"/>
    <mergeCell ref="B247:G247"/>
    <mergeCell ref="B248:G248"/>
    <mergeCell ref="B249:G249"/>
    <mergeCell ref="B250:G250"/>
    <mergeCell ref="B251:G251"/>
    <mergeCell ref="B252:G252"/>
    <mergeCell ref="B241:G241"/>
    <mergeCell ref="B242:G242"/>
    <mergeCell ref="B243:G243"/>
    <mergeCell ref="B244:G244"/>
    <mergeCell ref="B245:G245"/>
    <mergeCell ref="B246:G246"/>
    <mergeCell ref="B235:G235"/>
    <mergeCell ref="B236:G236"/>
    <mergeCell ref="B237:G237"/>
    <mergeCell ref="B238:G238"/>
    <mergeCell ref="B239:G239"/>
    <mergeCell ref="B240:G240"/>
    <mergeCell ref="B229:G229"/>
    <mergeCell ref="B230:G230"/>
    <mergeCell ref="B231:G231"/>
    <mergeCell ref="B232:G232"/>
    <mergeCell ref="B233:G233"/>
    <mergeCell ref="B234:G234"/>
    <mergeCell ref="B223:G223"/>
    <mergeCell ref="B224:G224"/>
    <mergeCell ref="B225:G225"/>
    <mergeCell ref="B226:G226"/>
    <mergeCell ref="B227:G227"/>
    <mergeCell ref="B228:G228"/>
    <mergeCell ref="B217:G217"/>
    <mergeCell ref="B218:G218"/>
    <mergeCell ref="B219:G219"/>
    <mergeCell ref="B220:G220"/>
    <mergeCell ref="B221:G221"/>
    <mergeCell ref="B222:G222"/>
    <mergeCell ref="B211:G211"/>
    <mergeCell ref="B212:G212"/>
    <mergeCell ref="B213:G213"/>
    <mergeCell ref="B214:G214"/>
    <mergeCell ref="B215:G215"/>
    <mergeCell ref="B216:G216"/>
    <mergeCell ref="B205:G205"/>
    <mergeCell ref="B206:G206"/>
    <mergeCell ref="B207:G207"/>
    <mergeCell ref="B208:G208"/>
    <mergeCell ref="B209:G209"/>
    <mergeCell ref="B210:G210"/>
    <mergeCell ref="B199:G199"/>
    <mergeCell ref="B200:G200"/>
    <mergeCell ref="B201:G201"/>
    <mergeCell ref="B202:G202"/>
    <mergeCell ref="B203:G203"/>
    <mergeCell ref="B204:G204"/>
    <mergeCell ref="B193:G193"/>
    <mergeCell ref="B194:G194"/>
    <mergeCell ref="B195:G195"/>
    <mergeCell ref="B196:G196"/>
    <mergeCell ref="B197:G197"/>
    <mergeCell ref="B198:G198"/>
    <mergeCell ref="B187:G187"/>
    <mergeCell ref="B188:G188"/>
    <mergeCell ref="B189:G189"/>
    <mergeCell ref="B190:G190"/>
    <mergeCell ref="B191:G191"/>
    <mergeCell ref="B192:G192"/>
    <mergeCell ref="B181:G181"/>
    <mergeCell ref="B182:G182"/>
    <mergeCell ref="B183:G183"/>
    <mergeCell ref="B184:G184"/>
    <mergeCell ref="B185:G185"/>
    <mergeCell ref="B186:G186"/>
    <mergeCell ref="B175:G175"/>
    <mergeCell ref="B176:G176"/>
    <mergeCell ref="B177:G177"/>
    <mergeCell ref="B178:G178"/>
    <mergeCell ref="B179:G179"/>
    <mergeCell ref="B180:G180"/>
    <mergeCell ref="B169:G169"/>
    <mergeCell ref="B170:G170"/>
    <mergeCell ref="B171:G171"/>
    <mergeCell ref="B172:G172"/>
    <mergeCell ref="B173:G173"/>
    <mergeCell ref="B174:G174"/>
    <mergeCell ref="B166:G166"/>
    <mergeCell ref="B167:G167"/>
    <mergeCell ref="B168:G168"/>
    <mergeCell ref="B157:G157"/>
    <mergeCell ref="B158:G158"/>
    <mergeCell ref="B159:G159"/>
    <mergeCell ref="B160:G160"/>
    <mergeCell ref="B161:G161"/>
    <mergeCell ref="B162:G162"/>
    <mergeCell ref="B151:G151"/>
    <mergeCell ref="B152:G152"/>
    <mergeCell ref="B153:G153"/>
    <mergeCell ref="B154:G154"/>
    <mergeCell ref="B155:G155"/>
    <mergeCell ref="B156:G156"/>
    <mergeCell ref="B145:G145"/>
    <mergeCell ref="B146:G146"/>
    <mergeCell ref="B147:G147"/>
    <mergeCell ref="B148:G148"/>
    <mergeCell ref="B149:G149"/>
    <mergeCell ref="B150:G150"/>
    <mergeCell ref="B139:G139"/>
    <mergeCell ref="B140:G140"/>
    <mergeCell ref="B141:G141"/>
    <mergeCell ref="B142:G142"/>
    <mergeCell ref="B143:G143"/>
    <mergeCell ref="B144:G144"/>
    <mergeCell ref="B133:G133"/>
    <mergeCell ref="B134:G134"/>
    <mergeCell ref="B135:G135"/>
    <mergeCell ref="B136:G136"/>
    <mergeCell ref="B137:G137"/>
    <mergeCell ref="B138:G138"/>
    <mergeCell ref="B127:G127"/>
    <mergeCell ref="B128:G128"/>
    <mergeCell ref="B129:G129"/>
    <mergeCell ref="B130:G130"/>
    <mergeCell ref="B131:G131"/>
    <mergeCell ref="B132:G132"/>
    <mergeCell ref="B121:G121"/>
    <mergeCell ref="B122:G122"/>
    <mergeCell ref="B123:G123"/>
    <mergeCell ref="B124:G124"/>
    <mergeCell ref="B125:G125"/>
    <mergeCell ref="B126:G126"/>
    <mergeCell ref="B115:G115"/>
    <mergeCell ref="B116:G116"/>
    <mergeCell ref="B117:G117"/>
    <mergeCell ref="B118:G118"/>
    <mergeCell ref="B119:G119"/>
    <mergeCell ref="B120:G120"/>
    <mergeCell ref="B109:G109"/>
    <mergeCell ref="B110:G110"/>
    <mergeCell ref="B111:G111"/>
    <mergeCell ref="B112:G112"/>
    <mergeCell ref="B113:G113"/>
    <mergeCell ref="B114:G114"/>
    <mergeCell ref="B103:G103"/>
    <mergeCell ref="B104:G104"/>
    <mergeCell ref="B105:G105"/>
    <mergeCell ref="B106:G106"/>
    <mergeCell ref="B107:G107"/>
    <mergeCell ref="B108:G108"/>
    <mergeCell ref="B97:G97"/>
    <mergeCell ref="B98:G98"/>
    <mergeCell ref="B99:G99"/>
    <mergeCell ref="B100:G100"/>
    <mergeCell ref="B101:G101"/>
    <mergeCell ref="B102:G102"/>
    <mergeCell ref="B91:G91"/>
    <mergeCell ref="B92:G92"/>
    <mergeCell ref="B93:G93"/>
    <mergeCell ref="B94:G94"/>
    <mergeCell ref="B95:G95"/>
    <mergeCell ref="B96:G96"/>
    <mergeCell ref="B85:G85"/>
    <mergeCell ref="B86:G86"/>
    <mergeCell ref="B87:G87"/>
    <mergeCell ref="B88:G88"/>
    <mergeCell ref="B89:G89"/>
    <mergeCell ref="B90:G90"/>
    <mergeCell ref="B79:G79"/>
    <mergeCell ref="B80:G80"/>
    <mergeCell ref="B81:G81"/>
    <mergeCell ref="B82:G82"/>
    <mergeCell ref="B83:G83"/>
    <mergeCell ref="B84:G84"/>
    <mergeCell ref="B73:G73"/>
    <mergeCell ref="B74:G74"/>
    <mergeCell ref="B75:G75"/>
    <mergeCell ref="B76:G76"/>
    <mergeCell ref="B77:G77"/>
    <mergeCell ref="B78:G78"/>
    <mergeCell ref="B67:G67"/>
    <mergeCell ref="B68:G68"/>
    <mergeCell ref="B69:G69"/>
    <mergeCell ref="B70:G70"/>
    <mergeCell ref="B71:G71"/>
    <mergeCell ref="B72:G72"/>
    <mergeCell ref="B61:G61"/>
    <mergeCell ref="B62:G62"/>
    <mergeCell ref="B63:G63"/>
    <mergeCell ref="B64:G64"/>
    <mergeCell ref="B65:G65"/>
    <mergeCell ref="B66:G66"/>
    <mergeCell ref="B55:G55"/>
    <mergeCell ref="B56:G56"/>
    <mergeCell ref="B57:G57"/>
    <mergeCell ref="B58:G58"/>
    <mergeCell ref="B59:G59"/>
    <mergeCell ref="B60:G60"/>
    <mergeCell ref="B49:G49"/>
    <mergeCell ref="B50:G50"/>
    <mergeCell ref="B51:G51"/>
    <mergeCell ref="B52:G52"/>
    <mergeCell ref="B53:G53"/>
    <mergeCell ref="B54:G54"/>
    <mergeCell ref="B43:G43"/>
    <mergeCell ref="B44:G44"/>
    <mergeCell ref="B45:G45"/>
    <mergeCell ref="B46:G46"/>
    <mergeCell ref="B47:G47"/>
    <mergeCell ref="B48:G48"/>
    <mergeCell ref="B40:G40"/>
    <mergeCell ref="B41:G41"/>
    <mergeCell ref="B42:G42"/>
    <mergeCell ref="B31:G31"/>
    <mergeCell ref="B32:G32"/>
    <mergeCell ref="B33:G33"/>
    <mergeCell ref="B34:G34"/>
    <mergeCell ref="B35:G35"/>
    <mergeCell ref="B36:G36"/>
    <mergeCell ref="B165:G165"/>
    <mergeCell ref="B164:G164"/>
    <mergeCell ref="B163:G163"/>
    <mergeCell ref="B12:G12"/>
    <mergeCell ref="B13:G13"/>
    <mergeCell ref="B14:G14"/>
    <mergeCell ref="B15:G15"/>
    <mergeCell ref="B16:G16"/>
    <mergeCell ref="B17:G17"/>
    <mergeCell ref="B25:G25"/>
    <mergeCell ref="B26:G26"/>
    <mergeCell ref="B27:G27"/>
    <mergeCell ref="B28:G28"/>
    <mergeCell ref="B29:G29"/>
    <mergeCell ref="B30:G30"/>
    <mergeCell ref="B18:G18"/>
    <mergeCell ref="B19:G19"/>
    <mergeCell ref="B20:G20"/>
    <mergeCell ref="B22:G22"/>
    <mergeCell ref="B23:G23"/>
    <mergeCell ref="B24:G24"/>
    <mergeCell ref="B37:G37"/>
    <mergeCell ref="B38:G38"/>
    <mergeCell ref="B39:G39"/>
  </mergeCells>
  <dataValidations disablePrompts="1" count="3">
    <dataValidation type="list" showInputMessage="1" showErrorMessage="1" sqref="I473" xr:uid="{00000000-0002-0000-0500-000000000000}">
      <formula1>"Y,N"</formula1>
    </dataValidation>
    <dataValidation type="decimal" operator="notEqual" allowBlank="1" showInputMessage="1" showErrorMessage="1" errorTitle="Zahl" error="Hier ist nur ein Zahlenwert erlaubt" sqref="H382 H357 H177:H183 H285 H289:H300 H265 G249:H249 G252:H253 G262:H262 H124 I134 H156 H195 H174 H18:H19 G14 H24:H27 H13:H16 H29:H30 G32:H32 G386:G390 G496 G358:G367 G369:G376 G378:G380 G382:G384 G392:G398 G257:H257 H476:H496 G476:G494" xr:uid="{00000000-0002-0000-0500-000001000000}">
      <formula1>9.99999999999999</formula1>
    </dataValidation>
    <dataValidation type="list" allowBlank="1" showInputMessage="1" showErrorMessage="1" sqref="I307" xr:uid="{00000000-0002-0000-0500-000002000000}">
      <formula1>"1,2,3,4,5"</formula1>
    </dataValidation>
  </dataValidations>
  <printOptions gridLines="1" gridLinesSet="0"/>
  <pageMargins left="0.59055118110236227" right="0.59055118110236227" top="0.78740157480314965" bottom="0.39370078740157483" header="0.31496062992125984" footer="0.31496062992125984"/>
  <pageSetup paperSize="9" scale="52" fitToHeight="3" pageOrder="overThenDown" orientation="portrait" r:id="rId1"/>
  <headerFooter alignWithMargins="0">
    <oddFooter>&amp;L&amp;"Arial,Fett"SNB Confidential&amp;C&amp;D&amp;RPage &amp;P</oddFooter>
  </headerFooter>
  <rowBreaks count="11" manualBreakCount="11">
    <brk id="41" max="9" man="1"/>
    <brk id="75" max="9" man="1"/>
    <brk id="95" max="9" man="1"/>
    <brk id="122" max="9" man="1"/>
    <brk id="154" max="9" man="1"/>
    <brk id="192" max="9" man="1"/>
    <brk id="247" max="9" man="1"/>
    <brk id="300" max="9" man="1"/>
    <brk id="354" max="9" man="1"/>
    <brk id="399" max="9" man="1"/>
    <brk id="474" max="9"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00B0F0"/>
  </sheetPr>
  <dimension ref="A1:T190"/>
  <sheetViews>
    <sheetView zoomScale="85" zoomScaleNormal="85" workbookViewId="0">
      <selection activeCell="S22" sqref="S22"/>
    </sheetView>
  </sheetViews>
  <sheetFormatPr defaultColWidth="13.42578125" defaultRowHeight="12.75" x14ac:dyDescent="0.2"/>
  <cols>
    <col min="1" max="1" width="13" style="278" customWidth="1"/>
    <col min="2" max="2" width="32.5703125" style="1" customWidth="1"/>
    <col min="3" max="3" width="13.42578125" style="1" customWidth="1"/>
    <col min="4" max="4" width="15.5703125" style="1" customWidth="1"/>
    <col min="5" max="5" width="10.5703125" style="1" customWidth="1"/>
    <col min="6" max="6" width="15.5703125" style="1" customWidth="1"/>
    <col min="7" max="7" width="35" style="1" customWidth="1"/>
    <col min="8" max="8" width="1.5703125" style="1" customWidth="1"/>
    <col min="9" max="9" width="25.42578125" style="1" customWidth="1"/>
    <col min="10" max="10" width="5.140625" style="1" bestFit="1" customWidth="1"/>
    <col min="11" max="11" width="13" style="1" customWidth="1"/>
    <col min="12" max="12" width="13.42578125" style="280"/>
    <col min="13" max="13" width="4.5703125" customWidth="1"/>
    <col min="14" max="14" width="13.42578125" style="1"/>
    <col min="15" max="21" width="10" style="1" customWidth="1"/>
    <col min="22" max="16384" width="13.42578125" style="1"/>
  </cols>
  <sheetData>
    <row r="1" spans="1:12" ht="25.35" customHeight="1" x14ac:dyDescent="0.2">
      <c r="H1" s="101" t="s">
        <v>100</v>
      </c>
      <c r="I1" s="378" t="s">
        <v>1231</v>
      </c>
    </row>
    <row r="2" spans="1:12" ht="25.35" customHeight="1" x14ac:dyDescent="0.2">
      <c r="A2" s="281"/>
      <c r="B2" s="9"/>
      <c r="H2" s="101" t="s">
        <v>98</v>
      </c>
      <c r="I2" s="203" t="s">
        <v>119</v>
      </c>
    </row>
    <row r="3" spans="1:12" ht="25.35" customHeight="1" x14ac:dyDescent="0.2">
      <c r="H3" s="101" t="s">
        <v>96</v>
      </c>
      <c r="I3" s="201" t="s">
        <v>121</v>
      </c>
    </row>
    <row r="4" spans="1:12" ht="18" x14ac:dyDescent="0.25">
      <c r="A4" s="281"/>
      <c r="B4" s="106" t="s">
        <v>2250</v>
      </c>
      <c r="C4" s="200"/>
      <c r="D4" s="204" t="s">
        <v>1232</v>
      </c>
    </row>
    <row r="5" spans="1:12" ht="18" x14ac:dyDescent="0.25">
      <c r="A5" s="284"/>
      <c r="B5" s="284"/>
      <c r="C5" s="198"/>
      <c r="D5" s="104" t="s">
        <v>99</v>
      </c>
    </row>
    <row r="6" spans="1:12" ht="20.100000000000001" customHeight="1" x14ac:dyDescent="0.2">
      <c r="A6" s="284"/>
      <c r="B6" s="284"/>
      <c r="D6" s="1" t="s">
        <v>351</v>
      </c>
      <c r="G6" s="207"/>
      <c r="H6" s="207"/>
      <c r="I6" s="207"/>
    </row>
    <row r="7" spans="1:12" x14ac:dyDescent="0.2">
      <c r="A7" s="284"/>
      <c r="B7" s="284"/>
      <c r="G7" s="207"/>
      <c r="H7" s="207"/>
    </row>
    <row r="8" spans="1:12" ht="16.350000000000001" customHeight="1" x14ac:dyDescent="0.2">
      <c r="A8" s="284"/>
      <c r="B8" s="284"/>
      <c r="C8" s="196"/>
      <c r="J8" s="12"/>
      <c r="K8" s="9"/>
      <c r="L8" s="285"/>
    </row>
    <row r="9" spans="1:12" ht="22.5" customHeight="1" x14ac:dyDescent="0.2">
      <c r="A9" s="286"/>
      <c r="B9" s="215"/>
      <c r="C9" s="194"/>
      <c r="D9" s="215"/>
      <c r="E9" s="215"/>
      <c r="F9" s="215"/>
      <c r="G9" s="215"/>
      <c r="H9" s="209"/>
      <c r="I9" s="287" t="s">
        <v>353</v>
      </c>
      <c r="J9" s="88"/>
      <c r="K9" s="15"/>
      <c r="L9" s="266" t="s">
        <v>354</v>
      </c>
    </row>
    <row r="10" spans="1:12" ht="29.1" customHeight="1" x14ac:dyDescent="0.2">
      <c r="A10" s="288"/>
      <c r="B10" s="12"/>
      <c r="C10" s="12"/>
      <c r="D10" s="12"/>
      <c r="E10" s="12"/>
      <c r="F10" s="12"/>
      <c r="G10" s="212"/>
      <c r="H10" s="213"/>
      <c r="I10" s="59" t="s">
        <v>22</v>
      </c>
      <c r="J10" s="58"/>
      <c r="K10" s="289"/>
      <c r="L10" s="285"/>
    </row>
    <row r="11" spans="1:12" ht="7.5" customHeight="1" x14ac:dyDescent="0.2">
      <c r="A11" s="281"/>
      <c r="G11" s="215"/>
      <c r="H11" s="216"/>
      <c r="I11" s="217"/>
      <c r="J11" s="31"/>
      <c r="K11" s="15"/>
      <c r="L11" s="285"/>
    </row>
    <row r="12" spans="1:12" ht="42.75" customHeight="1" thickBot="1" x14ac:dyDescent="0.3">
      <c r="A12" s="379" t="s">
        <v>355</v>
      </c>
      <c r="B12" s="1579" t="s">
        <v>356</v>
      </c>
      <c r="C12" s="1579"/>
      <c r="D12" s="1579"/>
      <c r="E12" s="1579"/>
      <c r="F12" s="1579"/>
      <c r="G12" s="1579"/>
      <c r="H12" s="216"/>
      <c r="I12" s="549">
        <f>SUM(I15:I16,I18:I21,I35:I56,I59:I72,I76:I77,I79:I80,I82:I84,I86:I88,I90:I91,I96:I100,I103:I109,I112:I113,I119,I122:I129,I132:I137,I141:I142)</f>
        <v>65000000</v>
      </c>
      <c r="J12" s="31">
        <v>1</v>
      </c>
      <c r="K12"/>
      <c r="L12" s="294" t="str">
        <f>IF(I12&gt;0,"OK","ERROR")</f>
        <v>OK</v>
      </c>
    </row>
    <row r="13" spans="1:12" ht="41.25" customHeight="1" thickTop="1" thickBot="1" x14ac:dyDescent="0.3">
      <c r="A13" s="380" t="s">
        <v>357</v>
      </c>
      <c r="B13" s="1578" t="s">
        <v>358</v>
      </c>
      <c r="C13" s="1578"/>
      <c r="D13" s="1578"/>
      <c r="E13" s="1578"/>
      <c r="F13" s="1578"/>
      <c r="G13" s="1578"/>
      <c r="H13" s="216"/>
      <c r="I13" s="549">
        <f>SUM(I15:I16,I18:I21,I35:I56,I59:I72,I76:I77,I79:I80,I82:I84,I86:I88,I90:I91,I96:I100,I103:I109,I112:I113)</f>
        <v>60000000</v>
      </c>
      <c r="J13" s="31">
        <v>2</v>
      </c>
      <c r="K13"/>
      <c r="L13" s="294" t="str">
        <f>IF(I13&gt;0,"OK","ERROR")</f>
        <v>OK</v>
      </c>
    </row>
    <row r="14" spans="1:12" ht="35.85" customHeight="1" thickTop="1" thickBot="1" x14ac:dyDescent="0.25">
      <c r="A14" s="381" t="s">
        <v>359</v>
      </c>
      <c r="B14" s="1577" t="s">
        <v>360</v>
      </c>
      <c r="C14" s="1577"/>
      <c r="D14" s="1577"/>
      <c r="E14" s="1577"/>
      <c r="F14" s="1577"/>
      <c r="G14" s="1577"/>
      <c r="H14" s="216"/>
      <c r="I14" s="549">
        <f>SUM(I15:I16,I18:I21,I35:I56,I59:I72,I76:I77,I79:I80,I82:I84,I86:I88,I90:I91)</f>
        <v>50000000</v>
      </c>
      <c r="J14" s="31">
        <v>240</v>
      </c>
      <c r="K14" s="15"/>
      <c r="L14" s="294" t="str">
        <f>IF(I14&gt;0,"OK","ERROR")</f>
        <v>OK</v>
      </c>
    </row>
    <row r="15" spans="1:12" ht="21.6" customHeight="1" thickTop="1" x14ac:dyDescent="0.2">
      <c r="A15" s="382" t="s">
        <v>361</v>
      </c>
      <c r="B15" s="1580" t="s">
        <v>362</v>
      </c>
      <c r="C15" s="1581"/>
      <c r="D15" s="1581"/>
      <c r="E15" s="1581"/>
      <c r="F15" s="1581"/>
      <c r="G15" s="1581"/>
      <c r="H15" s="216"/>
      <c r="I15" s="245">
        <v>50000000</v>
      </c>
      <c r="J15" s="31">
        <v>241</v>
      </c>
      <c r="K15" s="15"/>
      <c r="L15" s="294" t="str">
        <f>IF(I15&gt;=0,"OK","ERROR")</f>
        <v>OK</v>
      </c>
    </row>
    <row r="16" spans="1:12" ht="35.85" customHeight="1" x14ac:dyDescent="0.2">
      <c r="A16" s="383" t="s">
        <v>363</v>
      </c>
      <c r="B16" s="1580" t="s">
        <v>364</v>
      </c>
      <c r="C16" s="1581"/>
      <c r="D16" s="1581"/>
      <c r="E16" s="1581"/>
      <c r="F16" s="1581"/>
      <c r="G16" s="1581"/>
      <c r="H16" s="216"/>
      <c r="I16" s="33"/>
      <c r="J16" s="31">
        <v>242</v>
      </c>
      <c r="K16" s="15"/>
      <c r="L16"/>
    </row>
    <row r="17" spans="1:16" s="302" customFormat="1" ht="21.6" customHeight="1" thickBot="1" x14ac:dyDescent="0.25">
      <c r="A17" s="384" t="s">
        <v>365</v>
      </c>
      <c r="B17" s="1582" t="s">
        <v>366</v>
      </c>
      <c r="C17" s="1583"/>
      <c r="D17" s="1583"/>
      <c r="E17" s="1583"/>
      <c r="F17" s="1583"/>
      <c r="G17" s="1583"/>
      <c r="H17" s="385"/>
      <c r="I17" s="32">
        <f>I15+I16</f>
        <v>50000000</v>
      </c>
      <c r="J17" s="933"/>
      <c r="K17" s="15"/>
      <c r="L17" s="294" t="str">
        <f>IF(I17&gt;=0,"OK","ERROR")</f>
        <v>OK</v>
      </c>
      <c r="M17"/>
      <c r="O17" s="1"/>
    </row>
    <row r="18" spans="1:16" ht="21.6" customHeight="1" thickTop="1" x14ac:dyDescent="0.2">
      <c r="A18" s="383" t="s">
        <v>367</v>
      </c>
      <c r="B18" s="1580" t="s">
        <v>368</v>
      </c>
      <c r="C18" s="1581"/>
      <c r="D18" s="1581"/>
      <c r="E18" s="1581"/>
      <c r="F18" s="1581"/>
      <c r="G18" s="1581"/>
      <c r="H18" s="216"/>
      <c r="I18" s="33"/>
      <c r="J18" s="31">
        <v>244</v>
      </c>
      <c r="K18" s="15"/>
      <c r="L18"/>
    </row>
    <row r="19" spans="1:16" ht="35.85" customHeight="1" x14ac:dyDescent="0.2">
      <c r="A19" s="383" t="s">
        <v>2124</v>
      </c>
      <c r="B19" s="1580" t="s">
        <v>369</v>
      </c>
      <c r="C19" s="1581"/>
      <c r="D19" s="1581"/>
      <c r="E19" s="1581"/>
      <c r="F19" s="1581"/>
      <c r="G19" s="1581"/>
      <c r="H19" s="216"/>
      <c r="I19" s="33"/>
      <c r="J19" s="31">
        <v>245</v>
      </c>
      <c r="K19" s="15"/>
      <c r="L19" s="294" t="str">
        <f>IF(I19&lt;=0,"OK","ERROR")</f>
        <v>OK</v>
      </c>
    </row>
    <row r="20" spans="1:16" ht="21.6" customHeight="1" x14ac:dyDescent="0.2">
      <c r="A20" s="382" t="s">
        <v>2125</v>
      </c>
      <c r="B20" s="1580" t="s">
        <v>370</v>
      </c>
      <c r="C20" s="1581"/>
      <c r="D20" s="1581"/>
      <c r="E20" s="1581"/>
      <c r="F20" s="1581"/>
      <c r="G20" s="1581"/>
      <c r="H20" s="216"/>
      <c r="I20" s="33"/>
      <c r="J20" s="31">
        <v>246</v>
      </c>
      <c r="K20" s="15"/>
      <c r="L20" s="294" t="str">
        <f>IF(I20&lt;=0,"OK","ERROR")</f>
        <v>OK</v>
      </c>
    </row>
    <row r="21" spans="1:16" ht="21.6" customHeight="1" x14ac:dyDescent="0.2">
      <c r="A21" s="382" t="s">
        <v>2126</v>
      </c>
      <c r="B21" s="1580" t="s">
        <v>371</v>
      </c>
      <c r="C21" s="1581"/>
      <c r="D21" s="1581"/>
      <c r="E21" s="1581"/>
      <c r="F21" s="1581"/>
      <c r="G21" s="1581"/>
      <c r="H21" s="216"/>
      <c r="I21" s="33"/>
      <c r="J21" s="31">
        <v>247</v>
      </c>
      <c r="K21" s="307"/>
      <c r="L21" s="294" t="str">
        <f>IF(I21&lt;=0,"OK","ERROR")</f>
        <v>OK</v>
      </c>
    </row>
    <row r="22" spans="1:16" ht="21.6" customHeight="1" thickBot="1" x14ac:dyDescent="0.25">
      <c r="A22" s="388" t="s">
        <v>372</v>
      </c>
      <c r="B22" s="1582" t="s">
        <v>373</v>
      </c>
      <c r="C22" s="1583"/>
      <c r="D22" s="1583"/>
      <c r="E22" s="1583"/>
      <c r="F22" s="1583"/>
      <c r="G22" s="1583"/>
      <c r="H22" s="216"/>
      <c r="I22" s="549">
        <f>SUM(I15:I16,I18:I21)</f>
        <v>50000000</v>
      </c>
      <c r="J22" s="933"/>
      <c r="K22" s="15"/>
      <c r="L22" s="294" t="str">
        <f>IF(I22&gt;=SUM(I24:I33),"OK","ERROR")</f>
        <v>OK</v>
      </c>
      <c r="P22" s="960"/>
    </row>
    <row r="23" spans="1:16" ht="21.6" customHeight="1" thickTop="1" x14ac:dyDescent="0.2">
      <c r="A23" s="387"/>
      <c r="B23" s="1584" t="s">
        <v>374</v>
      </c>
      <c r="C23" s="1584"/>
      <c r="D23" s="1584"/>
      <c r="E23" s="1584"/>
      <c r="F23" s="1584"/>
      <c r="G23" s="1584"/>
      <c r="H23" s="216"/>
      <c r="I23" s="389"/>
      <c r="J23" s="31"/>
      <c r="K23" s="15"/>
    </row>
    <row r="24" spans="1:16" ht="35.85" customHeight="1" x14ac:dyDescent="0.2">
      <c r="A24" s="386" t="s">
        <v>375</v>
      </c>
      <c r="B24" s="1585" t="s">
        <v>376</v>
      </c>
      <c r="C24" s="1586"/>
      <c r="D24" s="1586"/>
      <c r="E24" s="1586"/>
      <c r="F24" s="1586"/>
      <c r="G24" s="1586"/>
      <c r="H24" s="216"/>
      <c r="I24" s="33">
        <v>1000000</v>
      </c>
      <c r="J24" s="31">
        <v>249</v>
      </c>
      <c r="K24" s="15"/>
      <c r="L24" s="294" t="str">
        <f>IF(I24&gt;=0,"OK","ERROR")</f>
        <v>OK</v>
      </c>
    </row>
    <row r="25" spans="1:16" ht="35.85" customHeight="1" x14ac:dyDescent="0.2">
      <c r="A25" s="386" t="s">
        <v>377</v>
      </c>
      <c r="B25" s="1589" t="s">
        <v>2231</v>
      </c>
      <c r="C25" s="1590"/>
      <c r="D25" s="1590"/>
      <c r="E25" s="1590"/>
      <c r="F25" s="1590"/>
      <c r="G25" s="1590"/>
      <c r="H25" s="216"/>
      <c r="I25" s="33"/>
      <c r="J25" s="31">
        <v>250</v>
      </c>
      <c r="K25" s="15"/>
      <c r="L25" s="294" t="str">
        <f>IF(I25&gt;=0,"OK","ERROR")</f>
        <v>OK</v>
      </c>
    </row>
    <row r="26" spans="1:16" ht="35.85" customHeight="1" x14ac:dyDescent="0.2">
      <c r="A26" s="386" t="s">
        <v>379</v>
      </c>
      <c r="B26" s="1589" t="s">
        <v>2232</v>
      </c>
      <c r="C26" s="1590"/>
      <c r="D26" s="1590"/>
      <c r="E26" s="1590"/>
      <c r="F26" s="1590"/>
      <c r="G26" s="1590"/>
      <c r="H26" s="216"/>
      <c r="I26" s="33"/>
      <c r="J26" s="31">
        <v>251</v>
      </c>
      <c r="K26" s="15"/>
      <c r="L26" s="294" t="str">
        <f>IF(I26&gt;=0,"OK","ERROR")</f>
        <v>OK</v>
      </c>
    </row>
    <row r="27" spans="1:16" ht="20.100000000000001" customHeight="1" x14ac:dyDescent="0.2">
      <c r="A27" s="387" t="s">
        <v>381</v>
      </c>
      <c r="B27" s="1580" t="s">
        <v>382</v>
      </c>
      <c r="C27" s="1581"/>
      <c r="D27" s="1581"/>
      <c r="E27" s="1581"/>
      <c r="F27" s="1581"/>
      <c r="G27" s="1581"/>
      <c r="H27" s="216"/>
      <c r="I27" s="33"/>
      <c r="J27" s="31">
        <v>252</v>
      </c>
      <c r="K27" s="15"/>
      <c r="L27" s="294" t="str">
        <f>IF(I27&gt;=0,"OK","ERROR")</f>
        <v>OK</v>
      </c>
    </row>
    <row r="28" spans="1:16" ht="35.85" customHeight="1" x14ac:dyDescent="0.2">
      <c r="A28" s="386" t="s">
        <v>383</v>
      </c>
      <c r="B28" s="1580" t="s">
        <v>384</v>
      </c>
      <c r="C28" s="1581"/>
      <c r="D28" s="1581"/>
      <c r="E28" s="1581"/>
      <c r="F28" s="1581"/>
      <c r="G28" s="1581"/>
      <c r="H28" s="216"/>
      <c r="I28" s="33">
        <v>40000000</v>
      </c>
      <c r="J28" s="31">
        <v>253</v>
      </c>
      <c r="K28" s="15"/>
      <c r="L28" s="294" t="str">
        <f>IF(I28&gt;=0,"OK","ERROR")</f>
        <v>OK</v>
      </c>
    </row>
    <row r="29" spans="1:16" ht="35.85" customHeight="1" x14ac:dyDescent="0.2">
      <c r="A29" s="386" t="s">
        <v>385</v>
      </c>
      <c r="B29" s="1580" t="s">
        <v>386</v>
      </c>
      <c r="C29" s="1581"/>
      <c r="D29" s="1581"/>
      <c r="E29" s="1581"/>
      <c r="F29" s="1581"/>
      <c r="G29" s="1581"/>
      <c r="H29" s="216"/>
      <c r="I29" s="33">
        <v>5000000</v>
      </c>
      <c r="J29" s="31">
        <v>254</v>
      </c>
      <c r="K29" s="15"/>
      <c r="L29"/>
    </row>
    <row r="30" spans="1:16" ht="35.85" customHeight="1" x14ac:dyDescent="0.2">
      <c r="A30" s="386" t="s">
        <v>387</v>
      </c>
      <c r="B30" s="1580" t="s">
        <v>388</v>
      </c>
      <c r="C30" s="1581"/>
      <c r="D30" s="1581"/>
      <c r="E30" s="1581"/>
      <c r="F30" s="1581"/>
      <c r="G30" s="1581"/>
      <c r="H30" s="216"/>
      <c r="I30" s="33"/>
      <c r="J30" s="31">
        <v>255</v>
      </c>
      <c r="K30" s="15"/>
      <c r="L30" s="294" t="str">
        <f>IF(I30&gt;=0,"OK","ERROR")</f>
        <v>OK</v>
      </c>
    </row>
    <row r="31" spans="1:16" ht="35.85" customHeight="1" x14ac:dyDescent="0.2">
      <c r="A31" s="386" t="s">
        <v>389</v>
      </c>
      <c r="B31" s="1580" t="s">
        <v>390</v>
      </c>
      <c r="C31" s="1581"/>
      <c r="D31" s="1581"/>
      <c r="E31" s="1581"/>
      <c r="F31" s="1581"/>
      <c r="G31" s="1581"/>
      <c r="H31" s="216"/>
      <c r="I31" s="33">
        <v>-2000000</v>
      </c>
      <c r="J31" s="31">
        <v>256</v>
      </c>
      <c r="K31" s="15"/>
      <c r="L31"/>
    </row>
    <row r="32" spans="1:16" ht="35.85" customHeight="1" x14ac:dyDescent="0.2">
      <c r="A32" s="386" t="s">
        <v>391</v>
      </c>
      <c r="B32" s="1580" t="s">
        <v>392</v>
      </c>
      <c r="C32" s="1581"/>
      <c r="D32" s="1581"/>
      <c r="E32" s="1581"/>
      <c r="F32" s="1581"/>
      <c r="G32" s="1581"/>
      <c r="H32" s="216"/>
      <c r="I32" s="33"/>
      <c r="J32" s="31">
        <v>257</v>
      </c>
      <c r="K32" s="15"/>
      <c r="L32"/>
    </row>
    <row r="33" spans="1:12" ht="35.85" customHeight="1" x14ac:dyDescent="0.2">
      <c r="A33" s="386" t="s">
        <v>393</v>
      </c>
      <c r="B33" s="1580" t="s">
        <v>394</v>
      </c>
      <c r="C33" s="1581"/>
      <c r="D33" s="1581"/>
      <c r="E33" s="1581"/>
      <c r="F33" s="1581"/>
      <c r="G33" s="1581"/>
      <c r="H33" s="216"/>
      <c r="I33" s="33"/>
      <c r="J33" s="31">
        <v>258</v>
      </c>
      <c r="K33" s="255"/>
      <c r="L33"/>
    </row>
    <row r="34" spans="1:12" ht="21.6" customHeight="1" x14ac:dyDescent="0.2">
      <c r="A34" s="388" t="s">
        <v>395</v>
      </c>
      <c r="B34" s="1587" t="s">
        <v>396</v>
      </c>
      <c r="C34" s="1588"/>
      <c r="D34" s="1588"/>
      <c r="E34" s="1588"/>
      <c r="F34" s="1588"/>
      <c r="G34" s="1588"/>
      <c r="H34" s="216"/>
      <c r="I34" s="389"/>
      <c r="J34" s="31"/>
      <c r="K34" s="255"/>
    </row>
    <row r="35" spans="1:12" ht="35.85" customHeight="1" x14ac:dyDescent="0.2">
      <c r="A35" s="386" t="s">
        <v>397</v>
      </c>
      <c r="B35" s="1585" t="s">
        <v>398</v>
      </c>
      <c r="C35" s="1586"/>
      <c r="D35" s="1586"/>
      <c r="E35" s="1586"/>
      <c r="F35" s="1586"/>
      <c r="G35" s="1586"/>
      <c r="H35" s="216"/>
      <c r="I35" s="33"/>
      <c r="J35" s="31">
        <v>259</v>
      </c>
      <c r="K35" s="255"/>
      <c r="L35" s="294" t="str">
        <f>IF(I35&gt;=0,"OK","ERROR")</f>
        <v>OK</v>
      </c>
    </row>
    <row r="36" spans="1:12" ht="35.85" customHeight="1" x14ac:dyDescent="0.2">
      <c r="A36" s="386" t="s">
        <v>399</v>
      </c>
      <c r="B36" s="1580" t="s">
        <v>400</v>
      </c>
      <c r="C36" s="1581"/>
      <c r="D36" s="1581"/>
      <c r="E36" s="1581"/>
      <c r="F36" s="1581"/>
      <c r="G36" s="1581"/>
      <c r="H36" s="216"/>
      <c r="I36" s="33"/>
      <c r="J36" s="31">
        <v>260</v>
      </c>
      <c r="K36" s="15"/>
      <c r="L36" s="294" t="str">
        <f>IF(I36&gt;=0,"OK","ERROR")</f>
        <v>OK</v>
      </c>
    </row>
    <row r="37" spans="1:12" ht="35.85" customHeight="1" x14ac:dyDescent="0.2">
      <c r="A37" s="386" t="s">
        <v>401</v>
      </c>
      <c r="B37" s="1580" t="s">
        <v>402</v>
      </c>
      <c r="C37" s="1581"/>
      <c r="D37" s="1581"/>
      <c r="E37" s="1581"/>
      <c r="F37" s="1581"/>
      <c r="G37" s="1581"/>
      <c r="H37" s="216"/>
      <c r="I37" s="33"/>
      <c r="J37" s="31">
        <v>261</v>
      </c>
      <c r="K37" s="310"/>
      <c r="L37" s="294" t="str">
        <f>IF(I37&gt;=0,"OK","ERROR")</f>
        <v>OK</v>
      </c>
    </row>
    <row r="38" spans="1:12" ht="35.85" customHeight="1" x14ac:dyDescent="0.2">
      <c r="A38" s="386" t="s">
        <v>403</v>
      </c>
      <c r="B38" s="1580" t="s">
        <v>404</v>
      </c>
      <c r="C38" s="1581"/>
      <c r="D38" s="1581"/>
      <c r="E38" s="1581"/>
      <c r="F38" s="1581"/>
      <c r="G38" s="1581"/>
      <c r="H38" s="216"/>
      <c r="I38" s="33"/>
      <c r="J38" s="31">
        <v>262</v>
      </c>
      <c r="K38" s="15"/>
      <c r="L38" s="294" t="str">
        <f>IF(I38&gt;=0,"OK","ERROR")</f>
        <v>OK</v>
      </c>
    </row>
    <row r="39" spans="1:12" ht="35.85" customHeight="1" x14ac:dyDescent="0.2">
      <c r="A39" s="303" t="s">
        <v>405</v>
      </c>
      <c r="B39" s="1580" t="s">
        <v>406</v>
      </c>
      <c r="C39" s="1581"/>
      <c r="D39" s="1581"/>
      <c r="E39" s="1581"/>
      <c r="F39" s="1581"/>
      <c r="G39" s="1581"/>
      <c r="H39" s="291"/>
      <c r="I39" s="245"/>
      <c r="J39" s="31">
        <v>263</v>
      </c>
      <c r="K39"/>
      <c r="L39" s="294" t="str">
        <f>IF(I39&lt;=0,"OK","ERROR")</f>
        <v>OK</v>
      </c>
    </row>
    <row r="40" spans="1:12" ht="35.85" customHeight="1" x14ac:dyDescent="0.2">
      <c r="A40" s="303" t="s">
        <v>407</v>
      </c>
      <c r="B40" s="1580" t="s">
        <v>408</v>
      </c>
      <c r="C40" s="1581"/>
      <c r="D40" s="1581"/>
      <c r="E40" s="1581"/>
      <c r="F40" s="1581"/>
      <c r="G40" s="1581"/>
      <c r="H40" s="291"/>
      <c r="I40" s="245"/>
      <c r="J40" s="31">
        <v>264</v>
      </c>
      <c r="K40"/>
      <c r="L40" s="294" t="str">
        <f>IF(I40&lt;=0,"OK","ERROR")</f>
        <v>OK</v>
      </c>
    </row>
    <row r="41" spans="1:12" ht="7.5" customHeight="1" x14ac:dyDescent="0.2">
      <c r="A41" s="390"/>
      <c r="B41" s="1593"/>
      <c r="C41" s="1593"/>
      <c r="D41" s="1593"/>
      <c r="E41" s="1593"/>
      <c r="F41" s="1593"/>
      <c r="G41" s="1593"/>
      <c r="H41" s="12"/>
      <c r="I41" s="220"/>
      <c r="J41" s="221"/>
      <c r="K41" s="267"/>
      <c r="L41" s="285"/>
    </row>
    <row r="42" spans="1:12" ht="7.5" customHeight="1" x14ac:dyDescent="0.2">
      <c r="A42" s="387"/>
      <c r="B42" s="1594"/>
      <c r="C42" s="1594"/>
      <c r="D42" s="1594"/>
      <c r="E42" s="1594"/>
      <c r="F42" s="1594"/>
      <c r="G42" s="1594"/>
      <c r="H42" s="216"/>
      <c r="I42" s="217"/>
      <c r="J42" s="31"/>
      <c r="K42" s="15"/>
      <c r="L42" s="285"/>
    </row>
    <row r="43" spans="1:12" ht="35.85" customHeight="1" x14ac:dyDescent="0.2">
      <c r="A43" s="315" t="s">
        <v>409</v>
      </c>
      <c r="B43" s="1591" t="s">
        <v>2038</v>
      </c>
      <c r="C43" s="1592"/>
      <c r="D43" s="1592"/>
      <c r="E43" s="1592"/>
      <c r="F43" s="1592"/>
      <c r="G43" s="1592"/>
      <c r="H43" s="291"/>
      <c r="I43" s="258"/>
      <c r="J43" s="31"/>
      <c r="K43"/>
    </row>
    <row r="44" spans="1:12" ht="21.6" customHeight="1" x14ac:dyDescent="0.2">
      <c r="A44" s="304" t="s">
        <v>411</v>
      </c>
      <c r="B44" s="1585" t="s">
        <v>412</v>
      </c>
      <c r="C44" s="1586"/>
      <c r="D44" s="1586"/>
      <c r="E44" s="1586"/>
      <c r="F44" s="1586"/>
      <c r="G44" s="1586"/>
      <c r="H44" s="291"/>
      <c r="I44" s="245"/>
      <c r="J44" s="31">
        <v>265</v>
      </c>
      <c r="K44"/>
      <c r="L44" s="294" t="str">
        <f>IF(I44&lt;=0,"OK","ERROR")</f>
        <v>OK</v>
      </c>
    </row>
    <row r="45" spans="1:12" ht="21.6" customHeight="1" x14ac:dyDescent="0.2">
      <c r="A45" s="304" t="s">
        <v>413</v>
      </c>
      <c r="B45" s="1580" t="s">
        <v>414</v>
      </c>
      <c r="C45" s="1581"/>
      <c r="D45" s="1581"/>
      <c r="E45" s="1581"/>
      <c r="F45" s="1581"/>
      <c r="G45" s="1581"/>
      <c r="H45" s="291"/>
      <c r="I45" s="245"/>
      <c r="J45" s="31">
        <v>266</v>
      </c>
      <c r="K45"/>
      <c r="L45" s="294" t="str">
        <f>IF(I45&lt;=0,"OK","ERROR")</f>
        <v>OK</v>
      </c>
    </row>
    <row r="46" spans="1:12" ht="21.6" customHeight="1" x14ac:dyDescent="0.2">
      <c r="A46" s="304" t="s">
        <v>415</v>
      </c>
      <c r="B46" s="1580" t="s">
        <v>416</v>
      </c>
      <c r="C46" s="1581"/>
      <c r="D46" s="1581"/>
      <c r="E46" s="1581"/>
      <c r="F46" s="1581"/>
      <c r="G46" s="1581"/>
      <c r="H46" s="291"/>
      <c r="I46" s="245"/>
      <c r="J46" s="31">
        <v>267</v>
      </c>
      <c r="K46"/>
      <c r="L46" s="294" t="str">
        <f>IF(I46&lt;=0,"OK","ERROR")</f>
        <v>OK</v>
      </c>
    </row>
    <row r="47" spans="1:12" ht="21.6" customHeight="1" x14ac:dyDescent="0.2">
      <c r="A47" s="304" t="s">
        <v>417</v>
      </c>
      <c r="B47" s="1580" t="s">
        <v>418</v>
      </c>
      <c r="C47" s="1581"/>
      <c r="D47" s="1581"/>
      <c r="E47" s="1581"/>
      <c r="F47" s="1581"/>
      <c r="G47" s="1581"/>
      <c r="H47" s="291"/>
      <c r="I47" s="245"/>
      <c r="J47" s="31">
        <v>268</v>
      </c>
      <c r="K47"/>
      <c r="L47" s="294" t="str">
        <f>IF(I47&gt;=0,"OK","ERROR")</f>
        <v>OK</v>
      </c>
    </row>
    <row r="48" spans="1:12" ht="21.6" customHeight="1" x14ac:dyDescent="0.2">
      <c r="A48" s="304" t="s">
        <v>419</v>
      </c>
      <c r="B48" s="1580" t="s">
        <v>420</v>
      </c>
      <c r="C48" s="1580"/>
      <c r="D48" s="1580"/>
      <c r="E48" s="1580"/>
      <c r="F48" s="1580"/>
      <c r="G48" s="1580"/>
      <c r="H48" s="291"/>
      <c r="I48" s="245"/>
      <c r="J48" s="31">
        <v>270</v>
      </c>
      <c r="K48"/>
      <c r="L48" s="294" t="str">
        <f>IF(I48&lt;=0,"OK","ERROR")</f>
        <v>OK</v>
      </c>
    </row>
    <row r="49" spans="1:12" ht="21.6" customHeight="1" x14ac:dyDescent="0.2">
      <c r="A49" s="304" t="s">
        <v>421</v>
      </c>
      <c r="B49" s="1580" t="s">
        <v>422</v>
      </c>
      <c r="C49" s="1580"/>
      <c r="D49" s="1580"/>
      <c r="E49" s="1580"/>
      <c r="F49" s="1580"/>
      <c r="G49" s="1580"/>
      <c r="H49" s="291"/>
      <c r="I49" s="245"/>
      <c r="J49" s="31">
        <v>272</v>
      </c>
      <c r="K49"/>
      <c r="L49" s="294" t="str">
        <f>IF(I49&gt;=0,"OK","ERROR")</f>
        <v>OK</v>
      </c>
    </row>
    <row r="50" spans="1:12" ht="21.6" customHeight="1" x14ac:dyDescent="0.2">
      <c r="A50" s="304" t="s">
        <v>423</v>
      </c>
      <c r="B50" s="1580" t="s">
        <v>424</v>
      </c>
      <c r="C50" s="1580"/>
      <c r="D50" s="1580"/>
      <c r="E50" s="1580"/>
      <c r="F50" s="1580"/>
      <c r="G50" s="1580"/>
      <c r="H50" s="291"/>
      <c r="I50" s="245"/>
      <c r="J50" s="31">
        <v>274</v>
      </c>
      <c r="K50"/>
      <c r="L50" s="294" t="str">
        <f>IF(I50&lt;=0,"OK","ERROR")</f>
        <v>OK</v>
      </c>
    </row>
    <row r="51" spans="1:12" ht="21.6" customHeight="1" x14ac:dyDescent="0.2">
      <c r="A51" s="304" t="s">
        <v>425</v>
      </c>
      <c r="B51" s="1580" t="s">
        <v>426</v>
      </c>
      <c r="C51" s="1581"/>
      <c r="D51" s="1581"/>
      <c r="E51" s="1581"/>
      <c r="F51" s="1581"/>
      <c r="G51" s="1581"/>
      <c r="H51" s="291"/>
      <c r="I51" s="245"/>
      <c r="J51" s="31">
        <v>276</v>
      </c>
      <c r="K51"/>
      <c r="L51" s="294" t="str">
        <f>IF(I51&lt;=0,"OK","ERROR")</f>
        <v>OK</v>
      </c>
    </row>
    <row r="52" spans="1:12" ht="21.6" customHeight="1" x14ac:dyDescent="0.2">
      <c r="A52" s="304" t="s">
        <v>427</v>
      </c>
      <c r="B52" s="1580" t="s">
        <v>428</v>
      </c>
      <c r="C52" s="1581"/>
      <c r="D52" s="1581"/>
      <c r="E52" s="1581"/>
      <c r="F52" s="1581"/>
      <c r="G52" s="1581"/>
      <c r="H52" s="291"/>
      <c r="I52" s="245"/>
      <c r="J52" s="31">
        <v>277</v>
      </c>
      <c r="K52"/>
      <c r="L52" s="294" t="str">
        <f>IF(I52&lt;=0,"OK","ERROR")</f>
        <v>OK</v>
      </c>
    </row>
    <row r="53" spans="1:12" ht="21.6" customHeight="1" x14ac:dyDescent="0.2">
      <c r="A53" s="304" t="s">
        <v>429</v>
      </c>
      <c r="B53" s="1580" t="s">
        <v>430</v>
      </c>
      <c r="C53" s="1581"/>
      <c r="D53" s="1581"/>
      <c r="E53" s="1581"/>
      <c r="F53" s="1581"/>
      <c r="G53" s="1581"/>
      <c r="H53" s="291"/>
      <c r="I53" s="245"/>
      <c r="J53" s="31">
        <v>278</v>
      </c>
      <c r="K53"/>
      <c r="L53" s="294" t="str">
        <f>IF(I53&lt;=0,"OK","ERROR")</f>
        <v>OK</v>
      </c>
    </row>
    <row r="54" spans="1:12" ht="21.6" customHeight="1" x14ac:dyDescent="0.2">
      <c r="A54" s="304" t="s">
        <v>431</v>
      </c>
      <c r="B54" s="1580" t="s">
        <v>432</v>
      </c>
      <c r="C54" s="1581"/>
      <c r="D54" s="1581"/>
      <c r="E54" s="1581"/>
      <c r="F54" s="1581"/>
      <c r="G54" s="1581"/>
      <c r="H54" s="291"/>
      <c r="I54" s="245"/>
      <c r="J54" s="31">
        <v>279</v>
      </c>
      <c r="K54"/>
      <c r="L54" s="294" t="str">
        <f>IF(I54&gt;=0,"OK","ERROR")</f>
        <v>OK</v>
      </c>
    </row>
    <row r="55" spans="1:12" ht="21.6" customHeight="1" x14ac:dyDescent="0.2">
      <c r="A55" s="304" t="s">
        <v>433</v>
      </c>
      <c r="B55" s="1580" t="s">
        <v>434</v>
      </c>
      <c r="C55" s="1580"/>
      <c r="D55" s="1580"/>
      <c r="E55" s="1580"/>
      <c r="F55" s="1580"/>
      <c r="G55" s="1580"/>
      <c r="H55" s="291"/>
      <c r="I55" s="245"/>
      <c r="J55" s="31">
        <v>281</v>
      </c>
      <c r="K55"/>
      <c r="L55" s="294" t="str">
        <f>IF(I55&lt;=0,"OK","ERROR")</f>
        <v>OK</v>
      </c>
    </row>
    <row r="56" spans="1:12" ht="21.6" customHeight="1" x14ac:dyDescent="0.2">
      <c r="A56" s="304" t="s">
        <v>435</v>
      </c>
      <c r="B56" s="1595" t="s">
        <v>436</v>
      </c>
      <c r="C56" s="1595"/>
      <c r="D56" s="1595"/>
      <c r="E56" s="1595"/>
      <c r="F56" s="1595"/>
      <c r="G56" s="1595"/>
      <c r="H56" s="291"/>
      <c r="I56" s="245"/>
      <c r="J56" s="31">
        <v>606</v>
      </c>
      <c r="K56" s="157"/>
      <c r="L56" s="294" t="str">
        <f>IF(I56&gt;=0,"OK","ERROR")</f>
        <v>OK</v>
      </c>
    </row>
    <row r="57" spans="1:12" ht="21.6" customHeight="1" thickBot="1" x14ac:dyDescent="0.25">
      <c r="A57" s="308" t="s">
        <v>437</v>
      </c>
      <c r="B57" s="1582" t="s">
        <v>438</v>
      </c>
      <c r="C57" s="1583"/>
      <c r="D57" s="1583"/>
      <c r="E57" s="1583"/>
      <c r="F57" s="1583"/>
      <c r="G57" s="1583"/>
      <c r="H57" s="291"/>
      <c r="I57" s="549">
        <f>SUM(I15:I16,I18:I21,I35:I56)</f>
        <v>50000000</v>
      </c>
      <c r="J57" s="933"/>
      <c r="K57"/>
      <c r="L57" s="294" t="str">
        <f>IF(I57&gt;=0,"OK","ERROR")</f>
        <v>OK</v>
      </c>
    </row>
    <row r="58" spans="1:12" ht="35.85" customHeight="1" thickTop="1" x14ac:dyDescent="0.2">
      <c r="A58" s="315" t="s">
        <v>441</v>
      </c>
      <c r="B58" s="1587" t="s">
        <v>442</v>
      </c>
      <c r="C58" s="1588"/>
      <c r="D58" s="1588"/>
      <c r="E58" s="1588"/>
      <c r="F58" s="1588"/>
      <c r="G58" s="1588"/>
      <c r="H58" s="291"/>
      <c r="I58" s="258"/>
      <c r="J58" s="31"/>
      <c r="K58"/>
    </row>
    <row r="59" spans="1:12" ht="35.85" customHeight="1" x14ac:dyDescent="0.2">
      <c r="A59" s="303" t="s">
        <v>443</v>
      </c>
      <c r="B59" s="1585" t="s">
        <v>444</v>
      </c>
      <c r="C59" s="1586"/>
      <c r="D59" s="1586"/>
      <c r="E59" s="1586"/>
      <c r="F59" s="1586"/>
      <c r="G59" s="1586"/>
      <c r="H59" s="291"/>
      <c r="I59" s="318"/>
      <c r="J59" s="391">
        <v>286</v>
      </c>
      <c r="K59"/>
      <c r="L59" s="294" t="str">
        <f>IF(I59&lt;=0,"OK","ERROR")</f>
        <v>OK</v>
      </c>
    </row>
    <row r="60" spans="1:12" ht="35.85" customHeight="1" x14ac:dyDescent="0.2">
      <c r="A60" s="303" t="s">
        <v>445</v>
      </c>
      <c r="B60" s="1580" t="s">
        <v>446</v>
      </c>
      <c r="C60" s="1581"/>
      <c r="D60" s="1581"/>
      <c r="E60" s="1581"/>
      <c r="F60" s="1581"/>
      <c r="G60" s="1581"/>
      <c r="H60" s="291"/>
      <c r="I60" s="245"/>
      <c r="J60" s="31">
        <v>288</v>
      </c>
      <c r="K60"/>
      <c r="L60" s="294" t="str">
        <f>IF(I60&lt;=0,"OK","ERROR")</f>
        <v>OK</v>
      </c>
    </row>
    <row r="61" spans="1:12" ht="21.6" customHeight="1" x14ac:dyDescent="0.2">
      <c r="A61" s="304" t="s">
        <v>447</v>
      </c>
      <c r="B61" s="1585" t="s">
        <v>448</v>
      </c>
      <c r="C61" s="1586"/>
      <c r="D61" s="1586"/>
      <c r="E61" s="1586"/>
      <c r="F61" s="1586"/>
      <c r="G61" s="1586"/>
      <c r="H61" s="291"/>
      <c r="I61" s="245"/>
      <c r="J61" s="31">
        <v>289</v>
      </c>
      <c r="K61"/>
      <c r="L61" s="294" t="str">
        <f>IF(I61&gt;=0,"OK","ERROR")</f>
        <v>OK</v>
      </c>
    </row>
    <row r="62" spans="1:12" ht="35.85" customHeight="1" x14ac:dyDescent="0.2">
      <c r="A62" s="1331" t="s">
        <v>2127</v>
      </c>
      <c r="B62" s="1580" t="s">
        <v>449</v>
      </c>
      <c r="C62" s="1581"/>
      <c r="D62" s="1581"/>
      <c r="E62" s="1581"/>
      <c r="F62" s="1581"/>
      <c r="G62" s="1581"/>
      <c r="H62" s="291"/>
      <c r="I62" s="245"/>
      <c r="J62" s="31">
        <v>292</v>
      </c>
      <c r="K62"/>
      <c r="L62" s="294" t="str">
        <f>IF(I62&lt;=0,"OK","ERROR")</f>
        <v>OK</v>
      </c>
    </row>
    <row r="63" spans="1:12" ht="21.6" customHeight="1" x14ac:dyDescent="0.2">
      <c r="A63" s="1329" t="s">
        <v>2128</v>
      </c>
      <c r="B63" s="1580" t="s">
        <v>451</v>
      </c>
      <c r="C63" s="1581"/>
      <c r="D63" s="1581"/>
      <c r="E63" s="1581"/>
      <c r="F63" s="1581"/>
      <c r="G63" s="1581"/>
      <c r="H63" s="291"/>
      <c r="I63" s="245"/>
      <c r="J63" s="31">
        <v>293</v>
      </c>
      <c r="K63"/>
      <c r="L63" s="294" t="str">
        <f>IF(I63&gt;=0,"OK","ERROR")</f>
        <v>OK</v>
      </c>
    </row>
    <row r="64" spans="1:12" ht="35.85" customHeight="1" x14ac:dyDescent="0.2">
      <c r="A64" s="1331" t="s">
        <v>2129</v>
      </c>
      <c r="B64" s="1580" t="s">
        <v>453</v>
      </c>
      <c r="C64" s="1581"/>
      <c r="D64" s="1581"/>
      <c r="E64" s="1581"/>
      <c r="F64" s="1581"/>
      <c r="G64" s="1581"/>
      <c r="H64" s="291"/>
      <c r="I64" s="245"/>
      <c r="J64" s="31">
        <v>296</v>
      </c>
      <c r="K64"/>
      <c r="L64" s="294" t="str">
        <f>IF(I64&lt;=0,"OK","ERROR")</f>
        <v>OK</v>
      </c>
    </row>
    <row r="65" spans="1:12" ht="35.85" customHeight="1" x14ac:dyDescent="0.2">
      <c r="A65" s="1331" t="s">
        <v>2130</v>
      </c>
      <c r="B65" s="1580" t="s">
        <v>455</v>
      </c>
      <c r="C65" s="1581"/>
      <c r="D65" s="1581"/>
      <c r="E65" s="1581"/>
      <c r="F65" s="1581"/>
      <c r="G65" s="1581"/>
      <c r="H65" s="291"/>
      <c r="I65" s="245"/>
      <c r="J65" s="31">
        <v>298</v>
      </c>
      <c r="K65"/>
      <c r="L65" s="294" t="str">
        <f>IF(I65&lt;=0,"OK","ERROR")</f>
        <v>OK</v>
      </c>
    </row>
    <row r="66" spans="1:12" ht="35.85" customHeight="1" x14ac:dyDescent="0.2">
      <c r="A66" s="1331" t="s">
        <v>2131</v>
      </c>
      <c r="B66" s="1580" t="s">
        <v>457</v>
      </c>
      <c r="C66" s="1581"/>
      <c r="D66" s="1581"/>
      <c r="E66" s="1581"/>
      <c r="F66" s="1581"/>
      <c r="G66" s="1581"/>
      <c r="H66" s="291"/>
      <c r="I66" s="245"/>
      <c r="J66" s="31">
        <v>300</v>
      </c>
      <c r="K66"/>
      <c r="L66" s="294" t="str">
        <f>IF(I66&lt;=0,"OK","ERROR")</f>
        <v>OK</v>
      </c>
    </row>
    <row r="67" spans="1:12" ht="21.6" customHeight="1" x14ac:dyDescent="0.2">
      <c r="A67" s="1329" t="s">
        <v>2132</v>
      </c>
      <c r="B67" s="1580" t="s">
        <v>459</v>
      </c>
      <c r="C67" s="1581"/>
      <c r="D67" s="1581"/>
      <c r="E67" s="1581"/>
      <c r="F67" s="1581"/>
      <c r="G67" s="1581"/>
      <c r="H67" s="291"/>
      <c r="I67" s="245"/>
      <c r="J67" s="31">
        <v>301</v>
      </c>
      <c r="K67"/>
      <c r="L67" s="294" t="str">
        <f>IF(I67&gt;=0,"OK","ERROR")</f>
        <v>OK</v>
      </c>
    </row>
    <row r="68" spans="1:12" ht="21.6" customHeight="1" x14ac:dyDescent="0.2">
      <c r="A68" s="1329" t="s">
        <v>2133</v>
      </c>
      <c r="B68" s="1580" t="s">
        <v>461</v>
      </c>
      <c r="C68" s="1581"/>
      <c r="D68" s="1581"/>
      <c r="E68" s="1581"/>
      <c r="F68" s="1581"/>
      <c r="G68" s="1581"/>
      <c r="H68" s="291"/>
      <c r="I68" s="245"/>
      <c r="J68" s="31">
        <v>302</v>
      </c>
      <c r="K68"/>
      <c r="L68" s="294" t="str">
        <f>IF(I68&gt;=0,"OK","ERROR")</f>
        <v>OK</v>
      </c>
    </row>
    <row r="69" spans="1:12" ht="35.85" customHeight="1" x14ac:dyDescent="0.2">
      <c r="A69" s="1331" t="s">
        <v>2134</v>
      </c>
      <c r="B69" s="1580" t="s">
        <v>463</v>
      </c>
      <c r="C69" s="1581"/>
      <c r="D69" s="1581"/>
      <c r="E69" s="1581"/>
      <c r="F69" s="1581"/>
      <c r="G69" s="1581"/>
      <c r="H69" s="291"/>
      <c r="I69" s="245"/>
      <c r="J69" s="31">
        <v>305</v>
      </c>
      <c r="K69"/>
      <c r="L69" s="294" t="str">
        <f>IF(I69&lt;=0,"OK","ERROR")</f>
        <v>OK</v>
      </c>
    </row>
    <row r="70" spans="1:12" ht="21.6" customHeight="1" x14ac:dyDescent="0.2">
      <c r="A70" s="1331" t="s">
        <v>2135</v>
      </c>
      <c r="B70" s="1580" t="s">
        <v>465</v>
      </c>
      <c r="C70" s="1581"/>
      <c r="D70" s="1581"/>
      <c r="E70" s="1581"/>
      <c r="F70" s="1581"/>
      <c r="G70" s="1581"/>
      <c r="H70" s="291"/>
      <c r="I70" s="245"/>
      <c r="J70" s="31">
        <v>307</v>
      </c>
      <c r="K70"/>
      <c r="L70" s="294" t="str">
        <f>IF(I70&lt;=0,"OK","ERROR")</f>
        <v>OK</v>
      </c>
    </row>
    <row r="71" spans="1:12" ht="35.85" customHeight="1" x14ac:dyDescent="0.2">
      <c r="A71" s="1331" t="s">
        <v>2136</v>
      </c>
      <c r="B71" s="1580" t="s">
        <v>2039</v>
      </c>
      <c r="C71" s="1581"/>
      <c r="D71" s="1581"/>
      <c r="E71" s="1581"/>
      <c r="F71" s="1581"/>
      <c r="G71" s="1581"/>
      <c r="H71" s="291"/>
      <c r="I71" s="245"/>
      <c r="J71" s="31">
        <v>309</v>
      </c>
      <c r="K71"/>
      <c r="L71" s="294" t="str">
        <f>IF(I71&lt;=0,"OK","ERROR")</f>
        <v>OK</v>
      </c>
    </row>
    <row r="72" spans="1:12" ht="21.6" customHeight="1" x14ac:dyDescent="0.2">
      <c r="A72" s="1329" t="s">
        <v>2137</v>
      </c>
      <c r="B72" s="1498" t="s">
        <v>469</v>
      </c>
      <c r="C72" s="1499"/>
      <c r="D72" s="1499"/>
      <c r="E72" s="1499"/>
      <c r="F72" s="1499"/>
      <c r="G72" s="1499"/>
      <c r="H72" s="291"/>
      <c r="I72" s="245"/>
      <c r="J72" s="31">
        <v>567</v>
      </c>
      <c r="K72"/>
      <c r="L72" s="2" t="str">
        <f>IF(I72&lt;=0,"OK","ERROR")</f>
        <v>OK</v>
      </c>
    </row>
    <row r="73" spans="1:12" ht="7.5" customHeight="1" x14ac:dyDescent="0.2">
      <c r="A73" s="390"/>
      <c r="B73" s="1593"/>
      <c r="C73" s="1593"/>
      <c r="D73" s="1593"/>
      <c r="E73" s="1593"/>
      <c r="F73" s="1593"/>
      <c r="G73" s="1593"/>
      <c r="H73" s="12"/>
      <c r="I73" s="220"/>
      <c r="J73" s="221"/>
      <c r="K73" s="267"/>
      <c r="L73" s="285"/>
    </row>
    <row r="74" spans="1:12" ht="7.5" customHeight="1" x14ac:dyDescent="0.2">
      <c r="A74" s="387"/>
      <c r="B74" s="1594"/>
      <c r="C74" s="1594"/>
      <c r="D74" s="1594"/>
      <c r="E74" s="1594"/>
      <c r="F74" s="1594"/>
      <c r="G74" s="1594"/>
      <c r="H74" s="216"/>
      <c r="I74" s="217"/>
      <c r="J74" s="31"/>
      <c r="K74" s="15"/>
      <c r="L74" s="285"/>
    </row>
    <row r="75" spans="1:12" ht="20.85" customHeight="1" thickBot="1" x14ac:dyDescent="0.25">
      <c r="A75" s="308" t="s">
        <v>470</v>
      </c>
      <c r="B75" s="1582" t="s">
        <v>471</v>
      </c>
      <c r="C75" s="1583"/>
      <c r="D75" s="1583"/>
      <c r="E75" s="1583"/>
      <c r="F75" s="1583"/>
      <c r="G75" s="1583"/>
      <c r="H75" s="291"/>
      <c r="I75" s="549">
        <f>SUM(I15:I16,I18:I21,I35:I56,I59:I72)</f>
        <v>50000000</v>
      </c>
      <c r="J75" s="933"/>
      <c r="K75"/>
      <c r="L75" s="294" t="str">
        <f>IF(I75&gt;=0,"OK","ERROR")</f>
        <v>OK</v>
      </c>
    </row>
    <row r="76" spans="1:12" ht="35.85" customHeight="1" thickTop="1" x14ac:dyDescent="0.2">
      <c r="A76" s="303" t="s">
        <v>472</v>
      </c>
      <c r="B76" s="1580" t="s">
        <v>473</v>
      </c>
      <c r="C76" s="1581"/>
      <c r="D76" s="1581"/>
      <c r="E76" s="1581"/>
      <c r="F76" s="1581"/>
      <c r="G76" s="1581"/>
      <c r="H76" s="291"/>
      <c r="I76" s="245"/>
      <c r="J76" s="31">
        <v>312</v>
      </c>
      <c r="K76"/>
      <c r="L76" s="294" t="str">
        <f>IF(I76&lt;=0,"OK","ERROR")</f>
        <v>OK</v>
      </c>
    </row>
    <row r="77" spans="1:12" ht="35.85" customHeight="1" x14ac:dyDescent="0.2">
      <c r="A77" s="1331" t="s">
        <v>2138</v>
      </c>
      <c r="B77" s="1580" t="s">
        <v>475</v>
      </c>
      <c r="C77" s="1581"/>
      <c r="D77" s="1581"/>
      <c r="E77" s="1581"/>
      <c r="F77" s="1581"/>
      <c r="G77" s="1581"/>
      <c r="H77" s="291"/>
      <c r="I77" s="245"/>
      <c r="J77" s="31">
        <v>314</v>
      </c>
      <c r="K77"/>
      <c r="L77" s="294" t="str">
        <f>IF(I77&lt;=0,"OK","ERROR")</f>
        <v>OK</v>
      </c>
    </row>
    <row r="78" spans="1:12" ht="35.85" customHeight="1" thickBot="1" x14ac:dyDescent="0.25">
      <c r="A78" s="1321" t="s">
        <v>474</v>
      </c>
      <c r="B78" s="1582" t="s">
        <v>477</v>
      </c>
      <c r="C78" s="1583"/>
      <c r="D78" s="1583"/>
      <c r="E78" s="1583"/>
      <c r="F78" s="1583"/>
      <c r="G78" s="1583"/>
      <c r="H78" s="291"/>
      <c r="I78" s="549">
        <f>SUM(I15:I16,I18:I21,I35:I56,I59:I72,I76:I77)</f>
        <v>50000000</v>
      </c>
      <c r="J78" s="933"/>
      <c r="K78"/>
      <c r="L78" s="294" t="str">
        <f>IF(I78&gt;=0,"OK","ERROR")</f>
        <v>OK</v>
      </c>
    </row>
    <row r="79" spans="1:12" ht="35.85" customHeight="1" thickTop="1" x14ac:dyDescent="0.2">
      <c r="A79" s="1331" t="s">
        <v>2139</v>
      </c>
      <c r="B79" s="1580" t="s">
        <v>479</v>
      </c>
      <c r="C79" s="1581"/>
      <c r="D79" s="1581"/>
      <c r="E79" s="1581"/>
      <c r="F79" s="1581"/>
      <c r="G79" s="1581"/>
      <c r="H79" s="291"/>
      <c r="I79" s="245"/>
      <c r="J79" s="31">
        <v>317</v>
      </c>
      <c r="K79"/>
      <c r="L79" s="294" t="str">
        <f>IF(I79&lt;=0,"OK","ERROR")</f>
        <v>OK</v>
      </c>
    </row>
    <row r="80" spans="1:12" ht="35.85" customHeight="1" x14ac:dyDescent="0.2">
      <c r="A80" s="1331" t="s">
        <v>476</v>
      </c>
      <c r="B80" s="1580" t="s">
        <v>481</v>
      </c>
      <c r="C80" s="1581"/>
      <c r="D80" s="1581"/>
      <c r="E80" s="1581"/>
      <c r="F80" s="1581"/>
      <c r="G80" s="1581"/>
      <c r="H80" s="291"/>
      <c r="I80" s="245"/>
      <c r="J80" s="31">
        <v>319</v>
      </c>
      <c r="K80"/>
      <c r="L80" s="294" t="str">
        <f>IF(I80&lt;=0,"OK","ERROR")</f>
        <v>OK</v>
      </c>
    </row>
    <row r="81" spans="1:12" ht="35.85" customHeight="1" thickBot="1" x14ac:dyDescent="0.25">
      <c r="A81" s="1321" t="s">
        <v>478</v>
      </c>
      <c r="B81" s="1582" t="s">
        <v>483</v>
      </c>
      <c r="C81" s="1583"/>
      <c r="D81" s="1583"/>
      <c r="E81" s="1583"/>
      <c r="F81" s="1583"/>
      <c r="G81" s="1583"/>
      <c r="H81" s="291"/>
      <c r="I81" s="549">
        <f>SUM(I15:I16,I18:I21,I35:I56,I59:I72,I76:I77,I79:I80)</f>
        <v>50000000</v>
      </c>
      <c r="J81" s="933"/>
      <c r="K81"/>
      <c r="L81" s="294" t="str">
        <f>IF(I81&gt;=0,"OK","ERROR")</f>
        <v>OK</v>
      </c>
    </row>
    <row r="82" spans="1:12" ht="35.85" customHeight="1" thickTop="1" x14ac:dyDescent="0.2">
      <c r="A82" s="1331" t="s">
        <v>2140</v>
      </c>
      <c r="B82" s="1580" t="s">
        <v>485</v>
      </c>
      <c r="C82" s="1581"/>
      <c r="D82" s="1581"/>
      <c r="E82" s="1581"/>
      <c r="F82" s="1581"/>
      <c r="G82" s="1581"/>
      <c r="H82" s="291"/>
      <c r="I82" s="245"/>
      <c r="J82" s="31">
        <v>322</v>
      </c>
      <c r="K82"/>
      <c r="L82" s="294" t="str">
        <f>IF(I82&lt;=0,"OK","ERROR")</f>
        <v>OK</v>
      </c>
    </row>
    <row r="83" spans="1:12" ht="35.85" customHeight="1" x14ac:dyDescent="0.2">
      <c r="A83" s="1331" t="s">
        <v>480</v>
      </c>
      <c r="B83" s="1580" t="s">
        <v>487</v>
      </c>
      <c r="C83" s="1581"/>
      <c r="D83" s="1581"/>
      <c r="E83" s="1581"/>
      <c r="F83" s="1581"/>
      <c r="G83" s="1581"/>
      <c r="H83" s="291"/>
      <c r="I83" s="245"/>
      <c r="J83" s="31">
        <v>324</v>
      </c>
      <c r="K83"/>
      <c r="L83" s="294" t="str">
        <f>IF(I83&lt;=0,"OK","ERROR")</f>
        <v>OK</v>
      </c>
    </row>
    <row r="84" spans="1:12" ht="35.85" customHeight="1" x14ac:dyDescent="0.2">
      <c r="A84" s="1331" t="s">
        <v>2141</v>
      </c>
      <c r="B84" s="1580" t="s">
        <v>489</v>
      </c>
      <c r="C84" s="1581"/>
      <c r="D84" s="1581"/>
      <c r="E84" s="1581"/>
      <c r="F84" s="1581"/>
      <c r="G84" s="1581"/>
      <c r="H84" s="291"/>
      <c r="I84" s="245"/>
      <c r="J84" s="31">
        <v>326</v>
      </c>
      <c r="K84"/>
      <c r="L84" s="294" t="str">
        <f>IF(I84&lt;=0,"OK","ERROR")</f>
        <v>OK</v>
      </c>
    </row>
    <row r="85" spans="1:12" ht="20.85" customHeight="1" thickBot="1" x14ac:dyDescent="0.25">
      <c r="A85" s="1320" t="s">
        <v>2142</v>
      </c>
      <c r="B85" s="1582" t="s">
        <v>491</v>
      </c>
      <c r="C85" s="1583"/>
      <c r="D85" s="1583"/>
      <c r="E85" s="1583"/>
      <c r="F85" s="1583"/>
      <c r="G85" s="1583"/>
      <c r="H85" s="291"/>
      <c r="I85" s="549">
        <f>SUM(I15:I16,I18:I21,I35:I56,I59:I72,I76:I77,I79:I80,I82:I84)</f>
        <v>50000000</v>
      </c>
      <c r="J85" s="933"/>
      <c r="K85"/>
      <c r="L85" s="294" t="str">
        <f>IF(I85&gt;=0,"OK","ERROR")</f>
        <v>OK</v>
      </c>
    </row>
    <row r="86" spans="1:12" ht="35.85" customHeight="1" thickTop="1" x14ac:dyDescent="0.2">
      <c r="A86" s="1331" t="s">
        <v>2143</v>
      </c>
      <c r="B86" s="1580" t="s">
        <v>493</v>
      </c>
      <c r="C86" s="1581"/>
      <c r="D86" s="1581"/>
      <c r="E86" s="1581"/>
      <c r="F86" s="1581"/>
      <c r="G86" s="1581"/>
      <c r="H86" s="291"/>
      <c r="I86" s="245"/>
      <c r="J86" s="31">
        <v>329</v>
      </c>
      <c r="K86"/>
      <c r="L86" s="294" t="str">
        <f>IF(I86&lt;=0,"OK","ERROR")</f>
        <v>OK</v>
      </c>
    </row>
    <row r="87" spans="1:12" ht="35.85" customHeight="1" x14ac:dyDescent="0.2">
      <c r="A87" s="1331" t="s">
        <v>2144</v>
      </c>
      <c r="B87" s="1580" t="s">
        <v>495</v>
      </c>
      <c r="C87" s="1581"/>
      <c r="D87" s="1581"/>
      <c r="E87" s="1581"/>
      <c r="F87" s="1581"/>
      <c r="G87" s="1581"/>
      <c r="H87" s="291"/>
      <c r="I87" s="245"/>
      <c r="J87" s="31">
        <v>330</v>
      </c>
      <c r="K87"/>
      <c r="L87" s="294" t="str">
        <f>IF(I87&lt;=0,"OK","ERROR")</f>
        <v>OK</v>
      </c>
    </row>
    <row r="88" spans="1:12" ht="35.85" customHeight="1" x14ac:dyDescent="0.2">
      <c r="A88" s="1331" t="s">
        <v>486</v>
      </c>
      <c r="B88" s="1580" t="s">
        <v>497</v>
      </c>
      <c r="C88" s="1581"/>
      <c r="D88" s="1581"/>
      <c r="E88" s="1581"/>
      <c r="F88" s="1581"/>
      <c r="G88" s="1581"/>
      <c r="H88" s="291"/>
      <c r="I88" s="245"/>
      <c r="J88" s="31">
        <v>331</v>
      </c>
      <c r="K88"/>
      <c r="L88" s="294" t="str">
        <f>IF(I88&lt;=0,"OK","ERROR")</f>
        <v>OK</v>
      </c>
    </row>
    <row r="89" spans="1:12" ht="21.6" customHeight="1" x14ac:dyDescent="0.2">
      <c r="A89" s="1320" t="s">
        <v>2145</v>
      </c>
      <c r="B89" s="1591" t="s">
        <v>499</v>
      </c>
      <c r="C89" s="1592"/>
      <c r="D89" s="1592"/>
      <c r="E89" s="1592"/>
      <c r="F89" s="1592"/>
      <c r="G89" s="1592"/>
      <c r="H89" s="291"/>
      <c r="I89" s="258"/>
      <c r="J89" s="31"/>
      <c r="K89"/>
    </row>
    <row r="90" spans="1:12" ht="33.75" customHeight="1" thickBot="1" x14ac:dyDescent="0.25">
      <c r="A90" s="1334" t="s">
        <v>2146</v>
      </c>
      <c r="B90" s="1596" t="s">
        <v>501</v>
      </c>
      <c r="C90" s="1597"/>
      <c r="D90" s="1597"/>
      <c r="E90" s="1597"/>
      <c r="F90" s="1597"/>
      <c r="G90" s="1597"/>
      <c r="H90" s="291"/>
      <c r="I90" s="32">
        <f>-1*I113</f>
        <v>0</v>
      </c>
      <c r="J90" s="31">
        <v>336</v>
      </c>
      <c r="K90"/>
      <c r="L90" s="294" t="str">
        <f>IF(I90&lt;=0,"OK","ERROR")</f>
        <v>OK</v>
      </c>
    </row>
    <row r="91" spans="1:12" ht="35.1" customHeight="1" thickTop="1" x14ac:dyDescent="0.2">
      <c r="A91" s="1334" t="s">
        <v>2147</v>
      </c>
      <c r="B91" s="1598" t="s">
        <v>503</v>
      </c>
      <c r="C91" s="1599"/>
      <c r="D91" s="1599"/>
      <c r="E91" s="1599"/>
      <c r="F91" s="1599"/>
      <c r="G91" s="1599"/>
      <c r="H91" s="291"/>
      <c r="I91" s="245"/>
      <c r="J91" s="31">
        <v>337</v>
      </c>
      <c r="K91"/>
      <c r="L91" s="294" t="str">
        <f>IF(I91&lt;=0,"OK","ERROR")</f>
        <v>OK</v>
      </c>
    </row>
    <row r="92" spans="1:12" ht="21.6" customHeight="1" thickBot="1" x14ac:dyDescent="0.25">
      <c r="A92" s="1320" t="s">
        <v>2148</v>
      </c>
      <c r="B92" s="1582" t="s">
        <v>505</v>
      </c>
      <c r="C92" s="1583"/>
      <c r="D92" s="1583"/>
      <c r="E92" s="1583"/>
      <c r="F92" s="1583"/>
      <c r="G92" s="1583"/>
      <c r="H92" s="291"/>
      <c r="I92" s="549">
        <f>SUM(I15:I16,I18:I21,I35:I56,I59:I72,I76:I77,I79:I80,I82:I84,I86:I88,I90:I91)</f>
        <v>50000000</v>
      </c>
      <c r="J92" s="933"/>
      <c r="K92"/>
      <c r="L92" s="294" t="str">
        <f>IF(I92&gt;0,"OK","ERROR")</f>
        <v>OK</v>
      </c>
    </row>
    <row r="93" spans="1:12" ht="7.5" customHeight="1" thickTop="1" x14ac:dyDescent="0.2">
      <c r="A93" s="390"/>
      <c r="B93" s="1593"/>
      <c r="C93" s="1593"/>
      <c r="D93" s="1593"/>
      <c r="E93" s="1593"/>
      <c r="F93" s="1593"/>
      <c r="G93" s="1593"/>
      <c r="H93" s="12"/>
      <c r="I93" s="220"/>
      <c r="J93" s="221"/>
      <c r="K93" s="267"/>
      <c r="L93" s="285"/>
    </row>
    <row r="94" spans="1:12" ht="7.5" customHeight="1" x14ac:dyDescent="0.2">
      <c r="A94" s="387"/>
      <c r="B94" s="1594"/>
      <c r="C94" s="1594"/>
      <c r="D94" s="1594"/>
      <c r="E94" s="1594"/>
      <c r="F94" s="1594"/>
      <c r="G94" s="1594"/>
      <c r="H94" s="216"/>
      <c r="I94" s="217"/>
      <c r="J94" s="31"/>
      <c r="K94" s="15"/>
      <c r="L94" s="285"/>
    </row>
    <row r="95" spans="1:12" ht="35.85" customHeight="1" thickBot="1" x14ac:dyDescent="0.25">
      <c r="A95" s="321" t="s">
        <v>506</v>
      </c>
      <c r="B95" s="1582" t="s">
        <v>507</v>
      </c>
      <c r="C95" s="1582"/>
      <c r="D95" s="1582"/>
      <c r="E95" s="1582"/>
      <c r="F95" s="1582"/>
      <c r="G95" s="1582"/>
      <c r="H95" s="291"/>
      <c r="I95" s="32">
        <f>SUM(I96:I100,I103:I109,I112:I113)</f>
        <v>10000000</v>
      </c>
      <c r="J95" s="933"/>
      <c r="K95"/>
      <c r="L95" s="294" t="str">
        <f t="shared" ref="L95:L101" si="0">IF(I95&gt;=0,"OK","ERROR")</f>
        <v>OK</v>
      </c>
    </row>
    <row r="96" spans="1:12" ht="21.6" customHeight="1" thickTop="1" x14ac:dyDescent="0.2">
      <c r="A96" s="304" t="s">
        <v>508</v>
      </c>
      <c r="B96" s="1580" t="s">
        <v>509</v>
      </c>
      <c r="C96" s="1581"/>
      <c r="D96" s="1581"/>
      <c r="E96" s="1581"/>
      <c r="F96" s="1581"/>
      <c r="G96" s="1581"/>
      <c r="H96" s="291"/>
      <c r="I96" s="245">
        <v>10000000</v>
      </c>
      <c r="J96" s="31">
        <v>340</v>
      </c>
      <c r="K96"/>
      <c r="L96" s="294" t="str">
        <f t="shared" si="0"/>
        <v>OK</v>
      </c>
    </row>
    <row r="97" spans="1:12" ht="21.6" customHeight="1" x14ac:dyDescent="0.2">
      <c r="A97" s="304" t="s">
        <v>510</v>
      </c>
      <c r="B97" s="1580" t="s">
        <v>511</v>
      </c>
      <c r="C97" s="1581"/>
      <c r="D97" s="1581"/>
      <c r="E97" s="1581"/>
      <c r="F97" s="1581"/>
      <c r="G97" s="1581"/>
      <c r="H97" s="291"/>
      <c r="I97" s="245"/>
      <c r="J97" s="31">
        <v>341</v>
      </c>
      <c r="K97"/>
      <c r="L97" s="294" t="str">
        <f t="shared" si="0"/>
        <v>OK</v>
      </c>
    </row>
    <row r="98" spans="1:12" ht="35.85" customHeight="1" x14ac:dyDescent="0.2">
      <c r="A98" s="303" t="s">
        <v>512</v>
      </c>
      <c r="B98" s="1589" t="s">
        <v>2233</v>
      </c>
      <c r="C98" s="1590"/>
      <c r="D98" s="1590"/>
      <c r="E98" s="1590"/>
      <c r="F98" s="1590"/>
      <c r="G98" s="1590"/>
      <c r="H98" s="291"/>
      <c r="I98" s="245"/>
      <c r="J98" s="31">
        <v>342</v>
      </c>
      <c r="K98"/>
      <c r="L98" s="294" t="str">
        <f t="shared" si="0"/>
        <v>OK</v>
      </c>
    </row>
    <row r="99" spans="1:12" ht="21.6" customHeight="1" x14ac:dyDescent="0.2">
      <c r="A99" s="304" t="s">
        <v>514</v>
      </c>
      <c r="B99" s="1580" t="s">
        <v>515</v>
      </c>
      <c r="C99" s="1581"/>
      <c r="D99" s="1581"/>
      <c r="E99" s="1581"/>
      <c r="F99" s="1581"/>
      <c r="G99" s="1581"/>
      <c r="H99" s="291"/>
      <c r="I99" s="245"/>
      <c r="J99" s="31">
        <v>343</v>
      </c>
      <c r="K99"/>
      <c r="L99" s="294" t="str">
        <f t="shared" si="0"/>
        <v>OK</v>
      </c>
    </row>
    <row r="100" spans="1:12" ht="21.6" customHeight="1" x14ac:dyDescent="0.2">
      <c r="A100" s="304" t="s">
        <v>516</v>
      </c>
      <c r="B100" s="1580" t="s">
        <v>517</v>
      </c>
      <c r="C100" s="1581"/>
      <c r="D100" s="1581"/>
      <c r="E100" s="1581"/>
      <c r="F100" s="1581"/>
      <c r="G100" s="1581"/>
      <c r="H100" s="291"/>
      <c r="I100" s="245"/>
      <c r="J100" s="31">
        <v>344</v>
      </c>
      <c r="K100"/>
      <c r="L100" s="294" t="str">
        <f t="shared" si="0"/>
        <v>OK</v>
      </c>
    </row>
    <row r="101" spans="1:12" ht="21.6" customHeight="1" thickBot="1" x14ac:dyDescent="0.25">
      <c r="A101" s="1320" t="s">
        <v>1962</v>
      </c>
      <c r="B101" s="1582" t="s">
        <v>527</v>
      </c>
      <c r="C101" s="1583"/>
      <c r="D101" s="1583"/>
      <c r="E101" s="1583"/>
      <c r="F101" s="1583"/>
      <c r="G101" s="1583"/>
      <c r="H101" s="291"/>
      <c r="I101" s="32">
        <f>SUM(I96:I100)</f>
        <v>10000000</v>
      </c>
      <c r="J101" s="933"/>
      <c r="K101"/>
      <c r="L101" s="294" t="str">
        <f t="shared" si="0"/>
        <v>OK</v>
      </c>
    </row>
    <row r="102" spans="1:12" ht="37.5" customHeight="1" thickTop="1" x14ac:dyDescent="0.2">
      <c r="A102" s="1320" t="s">
        <v>520</v>
      </c>
      <c r="B102" s="1587" t="s">
        <v>529</v>
      </c>
      <c r="C102" s="1587"/>
      <c r="D102" s="1587"/>
      <c r="E102" s="1587"/>
      <c r="F102" s="1587"/>
      <c r="G102" s="1587"/>
      <c r="H102" s="291"/>
      <c r="I102" s="258"/>
      <c r="J102" s="31"/>
      <c r="K102"/>
    </row>
    <row r="103" spans="1:12" ht="35.85" customHeight="1" x14ac:dyDescent="0.2">
      <c r="A103" s="1331" t="s">
        <v>2114</v>
      </c>
      <c r="B103" s="1585" t="s">
        <v>531</v>
      </c>
      <c r="C103" s="1586"/>
      <c r="D103" s="1586"/>
      <c r="E103" s="1586"/>
      <c r="F103" s="1586"/>
      <c r="G103" s="1586"/>
      <c r="H103" s="291"/>
      <c r="I103" s="245"/>
      <c r="J103" s="31">
        <v>350</v>
      </c>
      <c r="K103"/>
      <c r="L103" s="294" t="str">
        <f t="shared" ref="L103:L109" si="1">IF(I103&lt;=0,"OK","ERROR")</f>
        <v>OK</v>
      </c>
    </row>
    <row r="104" spans="1:12" ht="35.85" customHeight="1" x14ac:dyDescent="0.2">
      <c r="A104" s="1331" t="s">
        <v>2115</v>
      </c>
      <c r="B104" s="1580" t="s">
        <v>533</v>
      </c>
      <c r="C104" s="1581"/>
      <c r="D104" s="1581"/>
      <c r="E104" s="1581"/>
      <c r="F104" s="1581"/>
      <c r="G104" s="1581"/>
      <c r="H104" s="291"/>
      <c r="I104" s="245"/>
      <c r="J104" s="31">
        <v>351</v>
      </c>
      <c r="K104"/>
      <c r="L104" s="294" t="str">
        <f t="shared" si="1"/>
        <v>OK</v>
      </c>
    </row>
    <row r="105" spans="1:12" ht="35.85" customHeight="1" x14ac:dyDescent="0.2">
      <c r="A105" s="1331" t="s">
        <v>2116</v>
      </c>
      <c r="B105" s="1580" t="s">
        <v>535</v>
      </c>
      <c r="C105" s="1581"/>
      <c r="D105" s="1581"/>
      <c r="E105" s="1581"/>
      <c r="F105" s="1581"/>
      <c r="G105" s="1581"/>
      <c r="H105" s="291"/>
      <c r="I105" s="245"/>
      <c r="J105" s="31">
        <v>352</v>
      </c>
      <c r="K105"/>
      <c r="L105" s="294" t="str">
        <f t="shared" si="1"/>
        <v>OK</v>
      </c>
    </row>
    <row r="106" spans="1:12" ht="35.85" customHeight="1" x14ac:dyDescent="0.2">
      <c r="A106" s="1331" t="s">
        <v>2117</v>
      </c>
      <c r="B106" s="1580" t="s">
        <v>537</v>
      </c>
      <c r="C106" s="1581"/>
      <c r="D106" s="1581"/>
      <c r="E106" s="1581"/>
      <c r="F106" s="1581"/>
      <c r="G106" s="1581"/>
      <c r="H106" s="291"/>
      <c r="I106" s="245"/>
      <c r="J106" s="31">
        <v>353</v>
      </c>
      <c r="K106"/>
      <c r="L106" s="294" t="str">
        <f t="shared" si="1"/>
        <v>OK</v>
      </c>
    </row>
    <row r="107" spans="1:12" ht="35.85" customHeight="1" x14ac:dyDescent="0.2">
      <c r="A107" s="1331" t="s">
        <v>2118</v>
      </c>
      <c r="B107" s="1580" t="s">
        <v>538</v>
      </c>
      <c r="C107" s="1581"/>
      <c r="D107" s="1581"/>
      <c r="E107" s="1581"/>
      <c r="F107" s="1581"/>
      <c r="G107" s="1581"/>
      <c r="H107" s="291"/>
      <c r="I107" s="245"/>
      <c r="J107" s="31">
        <v>354</v>
      </c>
      <c r="K107"/>
      <c r="L107" s="294" t="str">
        <f t="shared" si="1"/>
        <v>OK</v>
      </c>
    </row>
    <row r="108" spans="1:12" ht="35.85" customHeight="1" x14ac:dyDescent="0.2">
      <c r="A108" s="1331" t="s">
        <v>2119</v>
      </c>
      <c r="B108" s="1580" t="s">
        <v>539</v>
      </c>
      <c r="C108" s="1581"/>
      <c r="D108" s="1581"/>
      <c r="E108" s="1581"/>
      <c r="F108" s="1581"/>
      <c r="G108" s="1581"/>
      <c r="H108" s="291"/>
      <c r="I108" s="245"/>
      <c r="J108" s="31">
        <v>355</v>
      </c>
      <c r="K108"/>
      <c r="L108" s="294" t="str">
        <f t="shared" si="1"/>
        <v>OK</v>
      </c>
    </row>
    <row r="109" spans="1:12" ht="35.85" customHeight="1" thickBot="1" x14ac:dyDescent="0.25">
      <c r="A109" s="1331" t="s">
        <v>2120</v>
      </c>
      <c r="B109" s="1580" t="s">
        <v>540</v>
      </c>
      <c r="C109" s="1581"/>
      <c r="D109" s="1581"/>
      <c r="E109" s="1581"/>
      <c r="F109" s="1581"/>
      <c r="G109" s="1581"/>
      <c r="H109" s="291"/>
      <c r="I109" s="32">
        <f>-1*I142</f>
        <v>0</v>
      </c>
      <c r="J109" s="31">
        <v>356</v>
      </c>
      <c r="K109"/>
      <c r="L109" s="294" t="str">
        <f t="shared" si="1"/>
        <v>OK</v>
      </c>
    </row>
    <row r="110" spans="1:12" ht="21.6" customHeight="1" thickTop="1" thickBot="1" x14ac:dyDescent="0.25">
      <c r="A110" s="1320" t="s">
        <v>2113</v>
      </c>
      <c r="B110" s="1582" t="s">
        <v>542</v>
      </c>
      <c r="C110" s="1583"/>
      <c r="D110" s="1583"/>
      <c r="E110" s="1583"/>
      <c r="F110" s="1583"/>
      <c r="G110" s="1583"/>
      <c r="H110" s="291"/>
      <c r="I110" s="549">
        <f>SUM(I96:I100,I103:I109)</f>
        <v>10000000</v>
      </c>
      <c r="J110" s="933"/>
      <c r="K110"/>
      <c r="L110" s="294" t="str">
        <f>IF(I110&gt;=0,"OK","ERROR")</f>
        <v>OK</v>
      </c>
    </row>
    <row r="111" spans="1:12" ht="21.6" customHeight="1" thickTop="1" x14ac:dyDescent="0.2">
      <c r="A111" s="1332" t="s">
        <v>2121</v>
      </c>
      <c r="B111" s="1587" t="s">
        <v>499</v>
      </c>
      <c r="C111" s="1588"/>
      <c r="D111" s="1588"/>
      <c r="E111" s="1588"/>
      <c r="F111" s="1588"/>
      <c r="G111" s="1588"/>
      <c r="H111" s="291"/>
      <c r="I111" s="174"/>
      <c r="J111" s="31"/>
      <c r="K111"/>
      <c r="L111"/>
    </row>
    <row r="112" spans="1:12" ht="35.85" customHeight="1" x14ac:dyDescent="0.2">
      <c r="A112" s="1333" t="s">
        <v>2122</v>
      </c>
      <c r="B112" s="1585" t="s">
        <v>545</v>
      </c>
      <c r="C112" s="1586"/>
      <c r="D112" s="1586"/>
      <c r="E112" s="1586"/>
      <c r="F112" s="1586"/>
      <c r="G112" s="1586"/>
      <c r="H112" s="291"/>
      <c r="I112" s="245"/>
      <c r="J112" s="31">
        <v>363</v>
      </c>
      <c r="K112"/>
      <c r="L112" s="2" t="str">
        <f>IF(I112&lt;=0,"OK","ERROR")</f>
        <v>OK</v>
      </c>
    </row>
    <row r="113" spans="1:18" ht="21.6" customHeight="1" x14ac:dyDescent="0.2">
      <c r="A113" s="1333" t="s">
        <v>2123</v>
      </c>
      <c r="B113" s="1580" t="s">
        <v>547</v>
      </c>
      <c r="C113" s="1580"/>
      <c r="D113" s="1580"/>
      <c r="E113" s="1580"/>
      <c r="F113" s="1580"/>
      <c r="G113" s="1580"/>
      <c r="H113" s="291"/>
      <c r="I113" s="245"/>
      <c r="J113" s="31">
        <v>565</v>
      </c>
      <c r="K113"/>
      <c r="L113" s="2" t="str">
        <f>IF(I113&gt;=0,"OK","ERROR")</f>
        <v>OK</v>
      </c>
    </row>
    <row r="114" spans="1:18" ht="21.6" customHeight="1" thickBot="1" x14ac:dyDescent="0.25">
      <c r="A114" s="1320" t="s">
        <v>526</v>
      </c>
      <c r="B114" s="1600" t="s">
        <v>549</v>
      </c>
      <c r="C114" s="1600"/>
      <c r="D114" s="1600"/>
      <c r="E114" s="1600"/>
      <c r="F114" s="1600"/>
      <c r="G114" s="1600"/>
      <c r="H114" s="291"/>
      <c r="I114" s="549">
        <f>SUM(I96:I100,I103:I109,I112:I113)</f>
        <v>10000000</v>
      </c>
      <c r="J114" s="933"/>
      <c r="K114"/>
      <c r="L114" s="294" t="str">
        <f>IF(I114&gt;=0,"OK","ERROR")</f>
        <v>OK</v>
      </c>
    </row>
    <row r="115" spans="1:18" ht="21.6" customHeight="1" thickTop="1" thickBot="1" x14ac:dyDescent="0.25">
      <c r="A115" s="1332" t="s">
        <v>1618</v>
      </c>
      <c r="B115" s="1605" t="s">
        <v>551</v>
      </c>
      <c r="C115" s="1583"/>
      <c r="D115" s="1583"/>
      <c r="E115" s="1583"/>
      <c r="F115" s="1583"/>
      <c r="G115" s="1583"/>
      <c r="H115" s="291"/>
      <c r="I115" s="549">
        <f>SUM(I15:I16,I18:I21,I35:I56,I59:I72,I76:I77,I79:I80,I82:I84,I86:I88,I90:I91,I96:I100,I103:I109,I112:I113)</f>
        <v>60000000</v>
      </c>
      <c r="J115" s="933"/>
      <c r="K115"/>
      <c r="L115" s="2" t="str">
        <f>IF(I115&gt;0,"OK","ERROR")</f>
        <v>OK</v>
      </c>
    </row>
    <row r="116" spans="1:18" ht="7.5" customHeight="1" thickTop="1" x14ac:dyDescent="0.2">
      <c r="A116" s="390"/>
      <c r="B116" s="1593"/>
      <c r="C116" s="1593"/>
      <c r="D116" s="1593"/>
      <c r="E116" s="1593"/>
      <c r="F116" s="1593"/>
      <c r="G116" s="1593"/>
      <c r="H116" s="12"/>
      <c r="I116" s="220"/>
      <c r="J116" s="221"/>
      <c r="K116" s="267"/>
      <c r="L116" s="285"/>
    </row>
    <row r="117" spans="1:18" ht="7.5" customHeight="1" x14ac:dyDescent="0.2">
      <c r="A117" s="387"/>
      <c r="B117" s="1594"/>
      <c r="C117" s="1594"/>
      <c r="D117" s="1594"/>
      <c r="E117" s="1594"/>
      <c r="F117" s="1594"/>
      <c r="G117" s="1594"/>
      <c r="H117" s="216"/>
      <c r="I117" s="217"/>
      <c r="J117" s="31"/>
      <c r="K117" s="15"/>
      <c r="L117" s="285"/>
    </row>
    <row r="118" spans="1:18" ht="41.25" customHeight="1" thickBot="1" x14ac:dyDescent="0.3">
      <c r="A118" s="380" t="s">
        <v>552</v>
      </c>
      <c r="B118" s="1606" t="s">
        <v>553</v>
      </c>
      <c r="C118" s="1607"/>
      <c r="D118" s="1607"/>
      <c r="E118" s="1607"/>
      <c r="F118" s="1607"/>
      <c r="G118" s="1607"/>
      <c r="H118" s="216"/>
      <c r="I118" s="32">
        <f>SUM(I119,I122:I129,I132:I137,I141:I142)</f>
        <v>5000000</v>
      </c>
      <c r="J118" s="391">
        <v>28</v>
      </c>
      <c r="K118" s="15"/>
      <c r="L118" s="294" t="str">
        <f>IF(I118&gt;=0,"OK","ERROR")</f>
        <v>OK</v>
      </c>
    </row>
    <row r="119" spans="1:18" ht="21.6" customHeight="1" thickTop="1" x14ac:dyDescent="0.2">
      <c r="A119" s="382" t="s">
        <v>554</v>
      </c>
      <c r="B119" s="1603" t="s">
        <v>555</v>
      </c>
      <c r="C119" s="1604"/>
      <c r="D119" s="1604"/>
      <c r="E119" s="1604"/>
      <c r="F119" s="1604"/>
      <c r="G119" s="1604"/>
      <c r="H119" s="216"/>
      <c r="I119" s="245">
        <v>5000000</v>
      </c>
      <c r="J119" s="31">
        <v>389</v>
      </c>
      <c r="K119" s="15"/>
      <c r="L119" s="294" t="str">
        <f>IF(I119&gt;=0,"OK","ERROR")</f>
        <v>OK</v>
      </c>
    </row>
    <row r="120" spans="1:18" ht="21.6" customHeight="1" x14ac:dyDescent="0.2">
      <c r="A120" s="382"/>
      <c r="B120" s="1603" t="s">
        <v>556</v>
      </c>
      <c r="C120" s="1603"/>
      <c r="D120" s="1603"/>
      <c r="E120" s="1603"/>
      <c r="F120" s="1603"/>
      <c r="G120" s="1603"/>
      <c r="H120" s="216"/>
      <c r="I120" s="389"/>
      <c r="J120" s="31"/>
      <c r="K120" s="15"/>
    </row>
    <row r="121" spans="1:18" ht="21.6" customHeight="1" x14ac:dyDescent="0.2">
      <c r="A121" s="382" t="s">
        <v>557</v>
      </c>
      <c r="B121" s="1601" t="s">
        <v>558</v>
      </c>
      <c r="C121" s="1602"/>
      <c r="D121" s="1602"/>
      <c r="E121" s="1602"/>
      <c r="F121" s="1602"/>
      <c r="G121" s="1602"/>
      <c r="H121" s="216"/>
      <c r="I121" s="33"/>
      <c r="J121" s="31">
        <v>390</v>
      </c>
      <c r="K121" s="15"/>
      <c r="L121" s="294" t="str">
        <f>IF(AND(I121&gt;=0,I121&lt;=I119),"OK","ERROR")</f>
        <v>OK</v>
      </c>
    </row>
    <row r="122" spans="1:18" ht="21.6" customHeight="1" x14ac:dyDescent="0.2">
      <c r="A122" s="382" t="s">
        <v>559</v>
      </c>
      <c r="B122" s="1603" t="s">
        <v>560</v>
      </c>
      <c r="C122" s="1604"/>
      <c r="D122" s="1604"/>
      <c r="E122" s="1604"/>
      <c r="F122" s="1604"/>
      <c r="G122" s="1604"/>
      <c r="H122" s="216"/>
      <c r="I122" s="33"/>
      <c r="J122" s="31">
        <v>391</v>
      </c>
      <c r="K122" s="15"/>
      <c r="L122" s="294" t="str">
        <f>IF(I122&gt;=0,"OK","ERROR")</f>
        <v>OK</v>
      </c>
    </row>
    <row r="123" spans="1:18" ht="35.85" customHeight="1" x14ac:dyDescent="0.2">
      <c r="A123" s="1319" t="s">
        <v>561</v>
      </c>
      <c r="B123" s="1585" t="s">
        <v>570</v>
      </c>
      <c r="C123" s="1586"/>
      <c r="D123" s="1586"/>
      <c r="E123" s="1586"/>
      <c r="F123" s="1586"/>
      <c r="G123" s="1586"/>
      <c r="H123" s="216"/>
      <c r="I123" s="33"/>
      <c r="J123" s="31">
        <v>396</v>
      </c>
      <c r="K123" s="15"/>
      <c r="L123" s="294" t="str">
        <f>IF(I123&lt;=0,"OK","ERROR")</f>
        <v>OK</v>
      </c>
    </row>
    <row r="124" spans="1:18" ht="50.85" customHeight="1" x14ac:dyDescent="0.2">
      <c r="A124" s="1319" t="s">
        <v>2094</v>
      </c>
      <c r="B124" s="1608" t="s">
        <v>2234</v>
      </c>
      <c r="C124" s="1609"/>
      <c r="D124" s="1609"/>
      <c r="E124" s="1609"/>
      <c r="F124" s="1609"/>
      <c r="G124" s="1609"/>
      <c r="H124" s="216"/>
      <c r="I124" s="33"/>
      <c r="J124" s="31">
        <v>397</v>
      </c>
      <c r="K124" s="15"/>
      <c r="L124" s="294" t="str">
        <f t="shared" ref="L124:L130" si="2">IF(I124&gt;=0,"OK","ERROR")</f>
        <v>OK</v>
      </c>
      <c r="R124" s="960"/>
    </row>
    <row r="125" spans="1:18" ht="35.85" customHeight="1" x14ac:dyDescent="0.2">
      <c r="A125" s="1319" t="s">
        <v>565</v>
      </c>
      <c r="B125" s="1608" t="s">
        <v>2040</v>
      </c>
      <c r="C125" s="1609"/>
      <c r="D125" s="1609"/>
      <c r="E125" s="1609"/>
      <c r="F125" s="1609"/>
      <c r="G125" s="1609"/>
      <c r="H125" s="216"/>
      <c r="I125" s="33"/>
      <c r="J125" s="31">
        <v>398</v>
      </c>
      <c r="K125" s="15"/>
      <c r="L125" s="294" t="str">
        <f t="shared" si="2"/>
        <v>OK</v>
      </c>
    </row>
    <row r="126" spans="1:18" ht="35.85" customHeight="1" x14ac:dyDescent="0.2">
      <c r="A126" s="1319" t="s">
        <v>567</v>
      </c>
      <c r="B126" s="1608" t="s">
        <v>2041</v>
      </c>
      <c r="C126" s="1609"/>
      <c r="D126" s="1609"/>
      <c r="E126" s="1609"/>
      <c r="F126" s="1609"/>
      <c r="G126" s="1609"/>
      <c r="H126" s="216"/>
      <c r="I126" s="33"/>
      <c r="J126" s="31">
        <v>399</v>
      </c>
      <c r="K126" s="15"/>
      <c r="L126" s="294" t="str">
        <f t="shared" si="2"/>
        <v>OK</v>
      </c>
    </row>
    <row r="127" spans="1:18" ht="35.85" customHeight="1" x14ac:dyDescent="0.2">
      <c r="A127" s="1319" t="s">
        <v>569</v>
      </c>
      <c r="B127" s="1608" t="s">
        <v>2042</v>
      </c>
      <c r="C127" s="1609"/>
      <c r="D127" s="1609"/>
      <c r="E127" s="1609"/>
      <c r="F127" s="1609"/>
      <c r="G127" s="1609"/>
      <c r="H127" s="216"/>
      <c r="I127" s="33"/>
      <c r="J127" s="31">
        <v>400</v>
      </c>
      <c r="K127" s="15"/>
      <c r="L127" s="294" t="str">
        <f t="shared" si="2"/>
        <v>OK</v>
      </c>
    </row>
    <row r="128" spans="1:18" ht="35.85" customHeight="1" x14ac:dyDescent="0.2">
      <c r="A128" s="1319" t="s">
        <v>2084</v>
      </c>
      <c r="B128" s="1608" t="s">
        <v>2043</v>
      </c>
      <c r="C128" s="1609"/>
      <c r="D128" s="1609"/>
      <c r="E128" s="1609"/>
      <c r="F128" s="1609"/>
      <c r="G128" s="1609"/>
      <c r="H128" s="216"/>
      <c r="I128" s="33"/>
      <c r="J128" s="31">
        <v>401</v>
      </c>
      <c r="K128" s="15"/>
      <c r="L128" s="294" t="str">
        <f t="shared" si="2"/>
        <v>OK</v>
      </c>
    </row>
    <row r="129" spans="1:16" ht="35.85" customHeight="1" x14ac:dyDescent="0.2">
      <c r="A129" s="1319" t="s">
        <v>573</v>
      </c>
      <c r="B129" s="1608" t="s">
        <v>2044</v>
      </c>
      <c r="C129" s="1609"/>
      <c r="D129" s="1609"/>
      <c r="E129" s="1609"/>
      <c r="F129" s="1609"/>
      <c r="G129" s="1609"/>
      <c r="H129" s="216"/>
      <c r="I129" s="33"/>
      <c r="J129" s="31">
        <v>402</v>
      </c>
      <c r="K129" s="15"/>
      <c r="L129" s="294" t="str">
        <f t="shared" si="2"/>
        <v>OK</v>
      </c>
    </row>
    <row r="130" spans="1:16" ht="21.6" customHeight="1" thickBot="1" x14ac:dyDescent="0.25">
      <c r="A130" s="1324" t="s">
        <v>2095</v>
      </c>
      <c r="B130" s="1582" t="s">
        <v>584</v>
      </c>
      <c r="C130" s="1583"/>
      <c r="D130" s="1583"/>
      <c r="E130" s="1583"/>
      <c r="F130" s="1583"/>
      <c r="G130" s="1583"/>
      <c r="H130" s="216"/>
      <c r="I130" s="32">
        <f>I119+SUM(I122:I129)</f>
        <v>5000000</v>
      </c>
      <c r="J130" s="933"/>
      <c r="K130" s="15"/>
      <c r="L130" s="294" t="str">
        <f t="shared" si="2"/>
        <v>OK</v>
      </c>
    </row>
    <row r="131" spans="1:16" ht="35.85" customHeight="1" thickTop="1" x14ac:dyDescent="0.2">
      <c r="A131" s="1321" t="s">
        <v>577</v>
      </c>
      <c r="B131" s="1587" t="s">
        <v>586</v>
      </c>
      <c r="C131" s="1588"/>
      <c r="D131" s="1588"/>
      <c r="E131" s="1588"/>
      <c r="F131" s="1588"/>
      <c r="G131" s="1588"/>
      <c r="H131" s="216"/>
      <c r="I131" s="389"/>
      <c r="J131" s="31"/>
      <c r="K131" s="15"/>
    </row>
    <row r="132" spans="1:16" ht="35.85" customHeight="1" x14ac:dyDescent="0.2">
      <c r="A132" s="1319" t="s">
        <v>2096</v>
      </c>
      <c r="B132" s="1585" t="s">
        <v>588</v>
      </c>
      <c r="C132" s="1586"/>
      <c r="D132" s="1586"/>
      <c r="E132" s="1586"/>
      <c r="F132" s="1586"/>
      <c r="G132" s="1586"/>
      <c r="H132" s="216"/>
      <c r="I132" s="33"/>
      <c r="J132" s="31">
        <v>404</v>
      </c>
      <c r="K132" s="15"/>
      <c r="L132" s="294" t="str">
        <f t="shared" ref="L132:L137" si="3">IF(I132&lt;=0,"OK","ERROR")</f>
        <v>OK</v>
      </c>
    </row>
    <row r="133" spans="1:16" ht="35.85" customHeight="1" x14ac:dyDescent="0.2">
      <c r="A133" s="1319" t="s">
        <v>2097</v>
      </c>
      <c r="B133" s="1585" t="s">
        <v>590</v>
      </c>
      <c r="C133" s="1586"/>
      <c r="D133" s="1586"/>
      <c r="E133" s="1586"/>
      <c r="F133" s="1586"/>
      <c r="G133" s="1586"/>
      <c r="H133" s="216"/>
      <c r="I133" s="33"/>
      <c r="J133" s="31">
        <v>405</v>
      </c>
      <c r="K133" s="15"/>
      <c r="L133" s="294" t="str">
        <f t="shared" si="3"/>
        <v>OK</v>
      </c>
    </row>
    <row r="134" spans="1:16" ht="50.85" customHeight="1" x14ac:dyDescent="0.2">
      <c r="A134" s="1319" t="s">
        <v>2098</v>
      </c>
      <c r="B134" s="1585" t="s">
        <v>592</v>
      </c>
      <c r="C134" s="1586"/>
      <c r="D134" s="1586"/>
      <c r="E134" s="1586"/>
      <c r="F134" s="1586"/>
      <c r="G134" s="1586"/>
      <c r="H134" s="216"/>
      <c r="I134" s="33"/>
      <c r="J134" s="31">
        <v>406</v>
      </c>
      <c r="K134" s="15"/>
      <c r="L134" s="294" t="str">
        <f t="shared" si="3"/>
        <v>OK</v>
      </c>
    </row>
    <row r="135" spans="1:16" ht="35.85" customHeight="1" x14ac:dyDescent="0.2">
      <c r="A135" s="1319" t="s">
        <v>2099</v>
      </c>
      <c r="B135" s="1585" t="s">
        <v>594</v>
      </c>
      <c r="C135" s="1586"/>
      <c r="D135" s="1586"/>
      <c r="E135" s="1586"/>
      <c r="F135" s="1586"/>
      <c r="G135" s="1586"/>
      <c r="H135" s="216"/>
      <c r="I135" s="33"/>
      <c r="J135" s="31">
        <v>407</v>
      </c>
      <c r="K135" s="15"/>
      <c r="L135" s="294" t="str">
        <f t="shared" si="3"/>
        <v>OK</v>
      </c>
    </row>
    <row r="136" spans="1:16" ht="35.85" customHeight="1" x14ac:dyDescent="0.2">
      <c r="A136" s="1319" t="s">
        <v>2100</v>
      </c>
      <c r="B136" s="1585" t="s">
        <v>596</v>
      </c>
      <c r="C136" s="1586"/>
      <c r="D136" s="1586"/>
      <c r="E136" s="1586"/>
      <c r="F136" s="1586"/>
      <c r="G136" s="1586"/>
      <c r="H136" s="216"/>
      <c r="I136" s="33"/>
      <c r="J136" s="31">
        <v>408</v>
      </c>
      <c r="K136" s="15"/>
      <c r="L136" s="294" t="str">
        <f t="shared" si="3"/>
        <v>OK</v>
      </c>
    </row>
    <row r="137" spans="1:16" ht="35.85" customHeight="1" x14ac:dyDescent="0.2">
      <c r="A137" s="1319" t="s">
        <v>2101</v>
      </c>
      <c r="B137" s="1585" t="s">
        <v>598</v>
      </c>
      <c r="C137" s="1586"/>
      <c r="D137" s="1586"/>
      <c r="E137" s="1586"/>
      <c r="F137" s="1586"/>
      <c r="G137" s="1586"/>
      <c r="H137" s="216"/>
      <c r="I137" s="33"/>
      <c r="J137" s="31">
        <v>409</v>
      </c>
      <c r="K137" s="15"/>
      <c r="L137" s="294" t="str">
        <f t="shared" si="3"/>
        <v>OK</v>
      </c>
    </row>
    <row r="138" spans="1:16" ht="21.6" customHeight="1" x14ac:dyDescent="0.2">
      <c r="A138" s="1322"/>
      <c r="B138" s="1512" t="s">
        <v>599</v>
      </c>
      <c r="C138" s="1512"/>
      <c r="D138" s="1512"/>
      <c r="E138" s="1512"/>
      <c r="F138" s="1512"/>
      <c r="G138" s="1512"/>
      <c r="H138" s="216"/>
      <c r="I138" s="174"/>
      <c r="J138" s="31"/>
      <c r="K138" s="15"/>
      <c r="L138"/>
      <c r="O138"/>
      <c r="P138"/>
    </row>
    <row r="139" spans="1:16" ht="21.6" customHeight="1" x14ac:dyDescent="0.2">
      <c r="A139" s="1319" t="s">
        <v>2102</v>
      </c>
      <c r="B139" s="1503" t="s">
        <v>2226</v>
      </c>
      <c r="C139" s="1503"/>
      <c r="D139" s="1503"/>
      <c r="E139" s="1503"/>
      <c r="F139" s="1503"/>
      <c r="G139" s="1503"/>
      <c r="H139" s="216"/>
      <c r="I139" s="33"/>
      <c r="J139" s="31">
        <v>607</v>
      </c>
      <c r="K139" s="15"/>
      <c r="L139" s="294" t="str">
        <f>IF(I139&lt;=0,"OK","ERROR")</f>
        <v>OK</v>
      </c>
    </row>
    <row r="140" spans="1:16" ht="21.6" customHeight="1" x14ac:dyDescent="0.2">
      <c r="A140" s="1323" t="s">
        <v>2085</v>
      </c>
      <c r="B140" s="1587" t="s">
        <v>602</v>
      </c>
      <c r="C140" s="1588"/>
      <c r="D140" s="1588"/>
      <c r="E140" s="1588"/>
      <c r="F140" s="1588"/>
      <c r="G140" s="1588"/>
      <c r="H140" s="216"/>
      <c r="I140" s="389"/>
      <c r="J140" s="31"/>
      <c r="K140" s="15"/>
    </row>
    <row r="141" spans="1:16" ht="35.85" customHeight="1" x14ac:dyDescent="0.2">
      <c r="A141" s="1319" t="s">
        <v>2103</v>
      </c>
      <c r="B141" s="1585" t="s">
        <v>604</v>
      </c>
      <c r="C141" s="1586"/>
      <c r="D141" s="1586"/>
      <c r="E141" s="1586"/>
      <c r="F141" s="1586"/>
      <c r="G141" s="1586"/>
      <c r="H141" s="216"/>
      <c r="I141" s="33"/>
      <c r="J141" s="31">
        <v>425</v>
      </c>
      <c r="K141" s="15"/>
      <c r="L141" s="294" t="str">
        <f>IF(I141&lt;=0,"OK","ERROR")</f>
        <v>OK</v>
      </c>
    </row>
    <row r="142" spans="1:16" ht="21.6" customHeight="1" x14ac:dyDescent="0.2">
      <c r="A142" s="1322" t="s">
        <v>2104</v>
      </c>
      <c r="B142" s="1585" t="s">
        <v>606</v>
      </c>
      <c r="C142" s="1586"/>
      <c r="D142" s="1586"/>
      <c r="E142" s="1586"/>
      <c r="F142" s="1586"/>
      <c r="G142" s="1586"/>
      <c r="H142" s="216"/>
      <c r="I142" s="33"/>
      <c r="J142" s="31">
        <v>426</v>
      </c>
      <c r="K142"/>
      <c r="L142" s="294" t="str">
        <f>IF(I142&gt;=0,"OK","ERROR")</f>
        <v>OK</v>
      </c>
    </row>
    <row r="143" spans="1:16" ht="21.6" customHeight="1" thickBot="1" x14ac:dyDescent="0.25">
      <c r="A143" s="1323" t="s">
        <v>2105</v>
      </c>
      <c r="B143" s="1605" t="s">
        <v>608</v>
      </c>
      <c r="C143" s="1583"/>
      <c r="D143" s="1583"/>
      <c r="E143" s="1583"/>
      <c r="F143" s="1583"/>
      <c r="G143" s="1583"/>
      <c r="H143" s="216"/>
      <c r="I143" s="32">
        <f>SUM(I119,I122:I129,I132:I137,I141:I142)</f>
        <v>5000000</v>
      </c>
      <c r="J143" s="933"/>
      <c r="K143"/>
      <c r="L143" s="294" t="str">
        <f>IF(I143&gt;=0,"OK","ERROR")</f>
        <v>OK</v>
      </c>
    </row>
    <row r="144" spans="1:16" ht="7.5" customHeight="1" thickTop="1" x14ac:dyDescent="0.2">
      <c r="A144" s="390"/>
      <c r="B144" s="1593"/>
      <c r="C144" s="1593"/>
      <c r="D144" s="1593"/>
      <c r="E144" s="1593"/>
      <c r="F144" s="1593"/>
      <c r="G144" s="1593"/>
      <c r="H144" s="12"/>
      <c r="I144" s="234"/>
      <c r="J144" s="221"/>
      <c r="K144"/>
      <c r="L144" s="285"/>
    </row>
    <row r="145" spans="1:13" ht="7.5" customHeight="1" x14ac:dyDescent="0.2">
      <c r="A145" s="387"/>
      <c r="B145" s="1594"/>
      <c r="C145" s="1594"/>
      <c r="D145" s="1594"/>
      <c r="E145" s="1594"/>
      <c r="F145" s="1594"/>
      <c r="G145" s="1594"/>
      <c r="H145" s="216"/>
      <c r="I145" s="217"/>
      <c r="J145" s="31"/>
      <c r="K145" s="15"/>
      <c r="L145" s="285"/>
    </row>
    <row r="146" spans="1:13" s="332" customFormat="1" ht="50.85" customHeight="1" x14ac:dyDescent="0.25">
      <c r="A146" s="1319" t="s">
        <v>2149</v>
      </c>
      <c r="B146" s="1610" t="s">
        <v>2112</v>
      </c>
      <c r="C146" s="1611"/>
      <c r="D146" s="1611"/>
      <c r="E146" s="1611"/>
      <c r="F146" s="1611"/>
      <c r="G146" s="1611"/>
      <c r="H146" s="291"/>
      <c r="I146" s="245"/>
      <c r="J146" s="319">
        <v>437</v>
      </c>
      <c r="K146" s="334"/>
      <c r="L146" s="1020" t="str">
        <f>IF(I146&gt;=0,"OK","ERROR")</f>
        <v>OK</v>
      </c>
      <c r="M146" s="1317"/>
    </row>
    <row r="147" spans="1:13" s="332" customFormat="1" ht="21.6" customHeight="1" x14ac:dyDescent="0.2">
      <c r="A147" s="1322"/>
      <c r="B147" s="1502" t="s">
        <v>556</v>
      </c>
      <c r="C147" s="1502"/>
      <c r="D147" s="1502"/>
      <c r="E147" s="1502"/>
      <c r="F147" s="1502"/>
      <c r="G147" s="1502"/>
      <c r="H147" s="291"/>
      <c r="I147" s="317"/>
      <c r="J147" s="293"/>
      <c r="K147" s="334"/>
      <c r="L147" s="1330"/>
      <c r="M147" s="1317"/>
    </row>
    <row r="148" spans="1:13" s="332" customFormat="1" ht="21.6" customHeight="1" x14ac:dyDescent="0.2">
      <c r="A148" s="1335" t="s">
        <v>610</v>
      </c>
      <c r="B148" s="1503" t="s">
        <v>631</v>
      </c>
      <c r="C148" s="1504"/>
      <c r="D148" s="1504"/>
      <c r="E148" s="1504"/>
      <c r="F148" s="1504"/>
      <c r="G148" s="1504"/>
      <c r="H148" s="291"/>
      <c r="I148" s="245"/>
      <c r="J148" s="293">
        <v>438</v>
      </c>
      <c r="K148" s="334"/>
      <c r="L148" s="1020" t="str">
        <f t="shared" ref="L148:L153" si="4">IF(AND(I148&gt;=0,I148&lt;=$I$146),"OK","ERROR")</f>
        <v>OK</v>
      </c>
      <c r="M148" s="1317"/>
    </row>
    <row r="149" spans="1:13" s="332" customFormat="1" ht="21.6" customHeight="1" x14ac:dyDescent="0.2">
      <c r="A149" s="1335" t="s">
        <v>616</v>
      </c>
      <c r="B149" s="1503" t="s">
        <v>633</v>
      </c>
      <c r="C149" s="1504"/>
      <c r="D149" s="1504"/>
      <c r="E149" s="1504"/>
      <c r="F149" s="1504"/>
      <c r="G149" s="1504"/>
      <c r="H149" s="291"/>
      <c r="I149" s="245"/>
      <c r="J149" s="293">
        <v>439</v>
      </c>
      <c r="K149" s="334"/>
      <c r="L149" s="1020" t="str">
        <f t="shared" si="4"/>
        <v>OK</v>
      </c>
      <c r="M149" s="1317"/>
    </row>
    <row r="150" spans="1:13" s="332" customFormat="1" ht="21.6" customHeight="1" x14ac:dyDescent="0.2">
      <c r="A150" s="1335" t="s">
        <v>622</v>
      </c>
      <c r="B150" s="1503" t="s">
        <v>635</v>
      </c>
      <c r="C150" s="1504"/>
      <c r="D150" s="1504"/>
      <c r="E150" s="1504"/>
      <c r="F150" s="1504"/>
      <c r="G150" s="1504"/>
      <c r="H150" s="291"/>
      <c r="I150" s="245"/>
      <c r="J150" s="293">
        <v>440</v>
      </c>
      <c r="K150" s="334"/>
      <c r="L150" s="1020" t="str">
        <f t="shared" si="4"/>
        <v>OK</v>
      </c>
      <c r="M150" s="1317"/>
    </row>
    <row r="151" spans="1:13" s="332" customFormat="1" ht="21.6" customHeight="1" x14ac:dyDescent="0.2">
      <c r="A151" s="1335" t="s">
        <v>2150</v>
      </c>
      <c r="B151" s="1503" t="s">
        <v>637</v>
      </c>
      <c r="C151" s="1504"/>
      <c r="D151" s="1504"/>
      <c r="E151" s="1504"/>
      <c r="F151" s="1504"/>
      <c r="G151" s="1504"/>
      <c r="H151" s="291"/>
      <c r="I151" s="245"/>
      <c r="J151" s="293">
        <v>441</v>
      </c>
      <c r="K151" s="334"/>
      <c r="L151" s="1020" t="str">
        <f t="shared" si="4"/>
        <v>OK</v>
      </c>
      <c r="M151" s="1317"/>
    </row>
    <row r="152" spans="1:13" s="332" customFormat="1" ht="21.6" customHeight="1" x14ac:dyDescent="0.2">
      <c r="A152" s="1335" t="s">
        <v>2151</v>
      </c>
      <c r="B152" s="1503" t="s">
        <v>639</v>
      </c>
      <c r="C152" s="1504"/>
      <c r="D152" s="1504"/>
      <c r="E152" s="1504"/>
      <c r="F152" s="1504"/>
      <c r="G152" s="1504"/>
      <c r="H152" s="291"/>
      <c r="I152" s="245"/>
      <c r="J152" s="293">
        <v>442</v>
      </c>
      <c r="K152" s="334"/>
      <c r="L152" s="1020" t="str">
        <f t="shared" si="4"/>
        <v>OK</v>
      </c>
      <c r="M152" s="1317"/>
    </row>
    <row r="153" spans="1:13" s="332" customFormat="1" ht="21.6" customHeight="1" x14ac:dyDescent="0.2">
      <c r="A153" s="1335" t="s">
        <v>2152</v>
      </c>
      <c r="B153" s="1498" t="s">
        <v>641</v>
      </c>
      <c r="C153" s="1499"/>
      <c r="D153" s="1499"/>
      <c r="E153" s="1499"/>
      <c r="F153" s="1499"/>
      <c r="G153" s="1499"/>
      <c r="H153" s="291"/>
      <c r="I153" s="245"/>
      <c r="J153" s="293">
        <v>443</v>
      </c>
      <c r="K153" s="334"/>
      <c r="L153" s="1020" t="str">
        <f t="shared" si="4"/>
        <v>OK</v>
      </c>
      <c r="M153" s="1317"/>
    </row>
    <row r="154" spans="1:13" ht="41.25" customHeight="1" x14ac:dyDescent="0.25">
      <c r="A154" s="1328" t="s">
        <v>201</v>
      </c>
      <c r="B154" s="1529" t="s">
        <v>642</v>
      </c>
      <c r="C154" s="1529"/>
      <c r="D154" s="1529"/>
      <c r="E154" s="1529"/>
      <c r="F154" s="1529"/>
      <c r="G154" s="1529"/>
      <c r="H154" s="216"/>
      <c r="I154" s="217"/>
      <c r="J154" s="31"/>
      <c r="K154" s="15"/>
    </row>
    <row r="155" spans="1:13" ht="21.6" customHeight="1" thickBot="1" x14ac:dyDescent="0.25">
      <c r="A155" s="1322" t="s">
        <v>643</v>
      </c>
      <c r="B155" s="1608" t="s">
        <v>2153</v>
      </c>
      <c r="C155" s="1609"/>
      <c r="D155" s="1609"/>
      <c r="E155" s="1609"/>
      <c r="F155" s="1609"/>
      <c r="G155" s="1609"/>
      <c r="H155" s="216"/>
      <c r="I155" s="32">
        <f>SUM(I15:I16,I18:I21,I35:I56)</f>
        <v>50000000</v>
      </c>
      <c r="J155" s="933"/>
      <c r="K155" s="15"/>
      <c r="L155" s="458" t="str">
        <f>IF(I155&gt;=0,"OK","ERROR")</f>
        <v>OK</v>
      </c>
    </row>
    <row r="156" spans="1:13" ht="21.6" customHeight="1" thickTop="1" thickBot="1" x14ac:dyDescent="0.25">
      <c r="A156" s="1322" t="s">
        <v>645</v>
      </c>
      <c r="B156" s="1608" t="s">
        <v>2163</v>
      </c>
      <c r="C156" s="1609"/>
      <c r="D156" s="1609"/>
      <c r="E156" s="1609"/>
      <c r="F156" s="1609"/>
      <c r="G156" s="1609"/>
      <c r="H156" s="216"/>
      <c r="I156" s="32">
        <f>SUM(I15:I16,I18:I21,I35:I56,I59:I72,I76:I77)</f>
        <v>50000000</v>
      </c>
      <c r="J156" s="933"/>
      <c r="K156" s="15"/>
      <c r="L156" s="458" t="str">
        <f t="shared" ref="L156:L165" si="5">IF(I156&gt;=0,"OK","ERROR")</f>
        <v>OK</v>
      </c>
    </row>
    <row r="157" spans="1:13" ht="21.6" customHeight="1" thickTop="1" thickBot="1" x14ac:dyDescent="0.25">
      <c r="A157" s="1322" t="s">
        <v>647</v>
      </c>
      <c r="B157" s="1608" t="s">
        <v>2162</v>
      </c>
      <c r="C157" s="1609"/>
      <c r="D157" s="1609"/>
      <c r="E157" s="1609"/>
      <c r="F157" s="1609"/>
      <c r="G157" s="1609"/>
      <c r="H157" s="216"/>
      <c r="I157" s="32">
        <f>SUM(I15:I16,I18:I21,I35:I56,I59:I72,I76:I77,I79:I80)</f>
        <v>50000000</v>
      </c>
      <c r="J157" s="933"/>
      <c r="K157" s="15"/>
      <c r="L157" s="458" t="str">
        <f t="shared" si="5"/>
        <v>OK</v>
      </c>
    </row>
    <row r="158" spans="1:13" ht="21.6" customHeight="1" thickTop="1" thickBot="1" x14ac:dyDescent="0.25">
      <c r="A158" s="1322" t="s">
        <v>649</v>
      </c>
      <c r="B158" s="1608" t="s">
        <v>2161</v>
      </c>
      <c r="C158" s="1609"/>
      <c r="D158" s="1609"/>
      <c r="E158" s="1609"/>
      <c r="F158" s="1609"/>
      <c r="G158" s="1609"/>
      <c r="H158" s="216"/>
      <c r="I158" s="32">
        <f>SUM(I15:I16,I18:I21,I35:I56,I59:I72,I76:I77,I79:I80,I82:I84)</f>
        <v>50000000</v>
      </c>
      <c r="J158" s="933"/>
      <c r="K158" s="15"/>
      <c r="L158" s="458" t="str">
        <f t="shared" si="5"/>
        <v>OK</v>
      </c>
    </row>
    <row r="159" spans="1:13" ht="21.6" customHeight="1" thickTop="1" thickBot="1" x14ac:dyDescent="0.25">
      <c r="A159" s="1322" t="s">
        <v>651</v>
      </c>
      <c r="B159" s="1608" t="s">
        <v>2160</v>
      </c>
      <c r="C159" s="1609"/>
      <c r="D159" s="1609"/>
      <c r="E159" s="1609"/>
      <c r="F159" s="1609"/>
      <c r="G159" s="1609"/>
      <c r="H159" s="216"/>
      <c r="I159" s="32">
        <f>SUM(I15:I16,I18:I21,I35:I56,I59:I72,I76:I77,I79:I80,I82:I84,I86:I88,I90:I91)</f>
        <v>50000000</v>
      </c>
      <c r="J159" s="933"/>
      <c r="K159" s="15"/>
      <c r="L159" s="458" t="str">
        <f t="shared" si="5"/>
        <v>OK</v>
      </c>
    </row>
    <row r="160" spans="1:13" ht="21.6" customHeight="1" thickTop="1" thickBot="1" x14ac:dyDescent="0.25">
      <c r="A160" s="1322" t="s">
        <v>653</v>
      </c>
      <c r="B160" s="1608" t="s">
        <v>2159</v>
      </c>
      <c r="C160" s="1609"/>
      <c r="D160" s="1609"/>
      <c r="E160" s="1609"/>
      <c r="F160" s="1609"/>
      <c r="G160" s="1609"/>
      <c r="H160" s="216"/>
      <c r="I160" s="32">
        <f>SUM(I96:I100)</f>
        <v>10000000</v>
      </c>
      <c r="J160" s="933"/>
      <c r="K160" s="15"/>
      <c r="L160" s="458" t="str">
        <f t="shared" si="5"/>
        <v>OK</v>
      </c>
    </row>
    <row r="161" spans="1:20" ht="21.6" customHeight="1" thickTop="1" thickBot="1" x14ac:dyDescent="0.25">
      <c r="A161" s="1322" t="s">
        <v>655</v>
      </c>
      <c r="B161" s="1608" t="s">
        <v>2158</v>
      </c>
      <c r="C161" s="1609"/>
      <c r="D161" s="1609"/>
      <c r="E161" s="1609"/>
      <c r="F161" s="1609"/>
      <c r="G161" s="1609"/>
      <c r="H161" s="216"/>
      <c r="I161" s="32">
        <f>SUM(I96:I100,I103:I109,I112:I113)</f>
        <v>10000000</v>
      </c>
      <c r="J161" s="933"/>
      <c r="K161"/>
      <c r="L161" s="458" t="str">
        <f t="shared" si="5"/>
        <v>OK</v>
      </c>
    </row>
    <row r="162" spans="1:20" ht="21.6" customHeight="1" thickTop="1" thickBot="1" x14ac:dyDescent="0.25">
      <c r="A162" s="1322" t="s">
        <v>657</v>
      </c>
      <c r="B162" s="1608" t="s">
        <v>2157</v>
      </c>
      <c r="C162" s="1609"/>
      <c r="D162" s="1609"/>
      <c r="E162" s="1609"/>
      <c r="F162" s="1609"/>
      <c r="G162" s="1609"/>
      <c r="H162" s="216"/>
      <c r="I162" s="32">
        <f>SUM(I15:I16,I18:I21,I35:I56,I59:I72,I76:I77,I79:I80,I82:I84,I86:I88,I90:I91,I96:I100,I103:I109,I112:I113)</f>
        <v>60000000</v>
      </c>
      <c r="J162" s="933"/>
      <c r="K162"/>
      <c r="L162" s="458" t="str">
        <f t="shared" si="5"/>
        <v>OK</v>
      </c>
    </row>
    <row r="163" spans="1:20" ht="21.6" customHeight="1" thickTop="1" thickBot="1" x14ac:dyDescent="0.25">
      <c r="A163" s="1322" t="s">
        <v>659</v>
      </c>
      <c r="B163" s="1608" t="s">
        <v>2156</v>
      </c>
      <c r="C163" s="1609"/>
      <c r="D163" s="1609"/>
      <c r="E163" s="1609"/>
      <c r="F163" s="1609"/>
      <c r="G163" s="1609"/>
      <c r="H163" s="216"/>
      <c r="I163" s="32">
        <f>SUM(I119,I122:I129)</f>
        <v>5000000</v>
      </c>
      <c r="J163" s="933"/>
      <c r="K163"/>
      <c r="L163" s="458" t="str">
        <f t="shared" si="5"/>
        <v>OK</v>
      </c>
    </row>
    <row r="164" spans="1:20" ht="21.6" customHeight="1" thickTop="1" thickBot="1" x14ac:dyDescent="0.25">
      <c r="A164" s="1322" t="s">
        <v>661</v>
      </c>
      <c r="B164" s="1608" t="s">
        <v>2155</v>
      </c>
      <c r="C164" s="1609"/>
      <c r="D164" s="1609"/>
      <c r="E164" s="1609"/>
      <c r="F164" s="1609"/>
      <c r="G164" s="1609"/>
      <c r="H164" s="216"/>
      <c r="I164" s="32">
        <f>SUM(I119,I122:I129,I132:I137,I141:I142)</f>
        <v>5000000</v>
      </c>
      <c r="J164" s="933"/>
      <c r="K164"/>
      <c r="L164" s="458" t="str">
        <f t="shared" si="5"/>
        <v>OK</v>
      </c>
    </row>
    <row r="165" spans="1:20" ht="21.6" customHeight="1" thickTop="1" thickBot="1" x14ac:dyDescent="0.25">
      <c r="A165" s="1322" t="s">
        <v>663</v>
      </c>
      <c r="B165" s="1612" t="s">
        <v>2154</v>
      </c>
      <c r="C165" s="1613"/>
      <c r="D165" s="1613"/>
      <c r="E165" s="1613"/>
      <c r="F165" s="1613"/>
      <c r="G165" s="1613"/>
      <c r="H165" s="216"/>
      <c r="I165" s="32">
        <f>SUM(I15:I16,I18:I21,I35:I56,I59:I72,I76:I77,I79:I80,I82:I84,I86:I88,I90:I91,I96:I100,I103:I109,I112:I113,I119,I122:I129,I132:I137,I141:I142)</f>
        <v>65000000</v>
      </c>
      <c r="J165" s="933"/>
      <c r="K165"/>
      <c r="L165" s="458" t="str">
        <f t="shared" si="5"/>
        <v>OK</v>
      </c>
    </row>
    <row r="166" spans="1:20" ht="41.25" customHeight="1" thickTop="1" x14ac:dyDescent="0.25">
      <c r="A166" s="1328" t="s">
        <v>1677</v>
      </c>
      <c r="B166" s="1529" t="s">
        <v>1190</v>
      </c>
      <c r="C166" s="1529"/>
      <c r="D166" s="1529"/>
      <c r="E166" s="1529"/>
      <c r="F166" s="1529"/>
      <c r="G166" s="1529"/>
      <c r="H166" s="291"/>
      <c r="I166" s="356"/>
      <c r="J166" s="293"/>
      <c r="K166" s="1012"/>
      <c r="L166" s="1020"/>
      <c r="M166" s="1013"/>
    </row>
    <row r="167" spans="1:20" ht="21.6" customHeight="1" x14ac:dyDescent="0.2">
      <c r="A167" s="1322" t="s">
        <v>1873</v>
      </c>
      <c r="B167" s="1504" t="s">
        <v>1192</v>
      </c>
      <c r="C167" s="1504"/>
      <c r="D167" s="1504"/>
      <c r="E167" s="1504"/>
      <c r="F167" s="1504"/>
      <c r="G167" s="1504"/>
      <c r="H167" s="291"/>
      <c r="I167" s="245"/>
      <c r="J167" s="31">
        <v>542</v>
      </c>
      <c r="K167" s="15"/>
      <c r="L167" s="294" t="str">
        <f>IF(I167&gt;=0,"OK","ERROR")</f>
        <v>OK</v>
      </c>
    </row>
    <row r="168" spans="1:20" ht="21.6" customHeight="1" x14ac:dyDescent="0.2">
      <c r="A168" s="1322"/>
      <c r="B168" s="1573" t="s">
        <v>556</v>
      </c>
      <c r="C168" s="1573"/>
      <c r="D168" s="1573"/>
      <c r="E168" s="1573"/>
      <c r="F168" s="1573"/>
      <c r="G168" s="1573"/>
      <c r="H168" s="291"/>
      <c r="I168" s="309"/>
      <c r="J168" s="31"/>
      <c r="K168" s="15"/>
    </row>
    <row r="169" spans="1:20" ht="21.6" customHeight="1" x14ac:dyDescent="0.2">
      <c r="A169" s="1329" t="s">
        <v>2106</v>
      </c>
      <c r="B169" s="1504" t="s">
        <v>1194</v>
      </c>
      <c r="C169" s="1504"/>
      <c r="D169" s="1504"/>
      <c r="E169" s="1504"/>
      <c r="F169" s="1504"/>
      <c r="G169" s="1504"/>
      <c r="H169" s="291"/>
      <c r="I169" s="245"/>
      <c r="J169" s="31">
        <v>543</v>
      </c>
      <c r="K169" s="15"/>
      <c r="L169" s="294" t="str">
        <f>IF(AND(I169&gt;=0,I169&lt;=$I$167),"OK","ERROR")</f>
        <v>OK</v>
      </c>
    </row>
    <row r="170" spans="1:20" ht="21.6" customHeight="1" x14ac:dyDescent="0.2">
      <c r="A170" s="1329" t="s">
        <v>2107</v>
      </c>
      <c r="B170" s="1499" t="s">
        <v>1196</v>
      </c>
      <c r="C170" s="1499"/>
      <c r="D170" s="1499"/>
      <c r="E170" s="1499"/>
      <c r="F170" s="1499"/>
      <c r="G170" s="1499"/>
      <c r="H170" s="291"/>
      <c r="I170" s="245"/>
      <c r="J170" s="31">
        <v>544</v>
      </c>
      <c r="K170" s="15"/>
      <c r="L170" s="294" t="str">
        <f>IF(AND(I170&gt;=0,I170&lt;=$I$167),"OK","ERROR")</f>
        <v>OK</v>
      </c>
    </row>
    <row r="171" spans="1:20" ht="21.6" customHeight="1" x14ac:dyDescent="0.2">
      <c r="A171" s="1329" t="s">
        <v>2108</v>
      </c>
      <c r="B171" s="1499" t="s">
        <v>1198</v>
      </c>
      <c r="C171" s="1499"/>
      <c r="D171" s="1499"/>
      <c r="E171" s="1499"/>
      <c r="F171" s="1499"/>
      <c r="G171" s="1499"/>
      <c r="H171" s="291"/>
      <c r="I171" s="245"/>
      <c r="J171" s="31">
        <v>545</v>
      </c>
      <c r="K171" s="15"/>
      <c r="L171" s="294" t="str">
        <f>IF(AND(I171&gt;=0,I171&lt;=$I$167),"OK","ERROR")</f>
        <v>OK</v>
      </c>
      <c r="M171" s="1013"/>
    </row>
    <row r="172" spans="1:20" ht="21.6" customHeight="1" x14ac:dyDescent="0.2">
      <c r="A172" s="1322" t="s">
        <v>2109</v>
      </c>
      <c r="B172" s="1504" t="s">
        <v>1200</v>
      </c>
      <c r="C172" s="1504"/>
      <c r="D172" s="1504"/>
      <c r="E172" s="1504"/>
      <c r="F172" s="1504"/>
      <c r="G172" s="1504"/>
      <c r="H172" s="291"/>
      <c r="I172" s="245"/>
      <c r="J172" s="31">
        <v>546</v>
      </c>
      <c r="K172" s="15"/>
      <c r="L172" s="294" t="str">
        <f>IF(I172&gt;=0,"OK","ERROR")</f>
        <v>OK</v>
      </c>
      <c r="M172" s="1013"/>
    </row>
    <row r="173" spans="1:20" ht="21.6" customHeight="1" x14ac:dyDescent="0.2">
      <c r="A173" s="1322" t="s">
        <v>2110</v>
      </c>
      <c r="B173" s="1504" t="s">
        <v>1202</v>
      </c>
      <c r="C173" s="1504"/>
      <c r="D173" s="1504"/>
      <c r="E173" s="1504"/>
      <c r="F173" s="1504"/>
      <c r="G173" s="1504"/>
      <c r="H173" s="291"/>
      <c r="I173" s="245"/>
      <c r="J173" s="31">
        <v>547</v>
      </c>
      <c r="K173" s="15"/>
      <c r="L173" s="294" t="str">
        <f>IF(I173&gt;=0,"OK","ERROR")</f>
        <v>OK</v>
      </c>
      <c r="M173" s="1013"/>
    </row>
    <row r="174" spans="1:20" ht="21.6" customHeight="1" x14ac:dyDescent="0.2">
      <c r="A174" s="1322" t="s">
        <v>2111</v>
      </c>
      <c r="B174" s="1504" t="s">
        <v>1204</v>
      </c>
      <c r="C174" s="1504"/>
      <c r="D174" s="1504"/>
      <c r="E174" s="1504"/>
      <c r="F174" s="1504"/>
      <c r="G174" s="1504"/>
      <c r="H174" s="291"/>
      <c r="I174" s="245"/>
      <c r="J174" s="31">
        <v>548</v>
      </c>
      <c r="K174" s="15"/>
      <c r="L174" s="294" t="str">
        <f>IF(I174&gt;=0,"OK","ERROR")</f>
        <v>OK</v>
      </c>
      <c r="M174" s="1013"/>
    </row>
    <row r="175" spans="1:20" customFormat="1" x14ac:dyDescent="0.2">
      <c r="A175" s="390"/>
      <c r="B175" s="1614"/>
      <c r="C175" s="1614"/>
      <c r="D175" s="1614"/>
      <c r="E175" s="1614"/>
      <c r="F175" s="1614"/>
      <c r="G175" s="1614"/>
      <c r="H175" s="12"/>
      <c r="I175" s="220"/>
      <c r="J175" s="221"/>
      <c r="K175" s="9"/>
      <c r="L175" s="285"/>
      <c r="N175" s="1"/>
      <c r="O175" s="1"/>
      <c r="P175" s="1"/>
      <c r="Q175" s="1"/>
      <c r="R175" s="1"/>
      <c r="S175" s="1"/>
      <c r="T175" s="1"/>
    </row>
    <row r="176" spans="1:20" customFormat="1" x14ac:dyDescent="0.2">
      <c r="A176" s="370"/>
      <c r="B176" s="26" t="str">
        <f>"Version: "&amp;D186</f>
        <v>Version: 3.03.E0</v>
      </c>
      <c r="C176" s="9"/>
      <c r="D176" s="9"/>
      <c r="E176" s="9"/>
      <c r="F176" s="9"/>
      <c r="G176" s="9"/>
      <c r="H176" s="9"/>
      <c r="I176" s="1"/>
      <c r="J176" s="235" t="s">
        <v>25</v>
      </c>
      <c r="K176" s="1"/>
      <c r="L176" s="280"/>
      <c r="N176" s="1"/>
      <c r="O176" s="1"/>
      <c r="P176" s="1"/>
      <c r="Q176" s="1"/>
      <c r="R176" s="1"/>
      <c r="S176" s="1"/>
      <c r="T176" s="1"/>
    </row>
    <row r="177" spans="1:20" customFormat="1" x14ac:dyDescent="0.2">
      <c r="A177" s="281"/>
      <c r="B177" s="1"/>
      <c r="C177" s="1"/>
      <c r="D177" s="1"/>
      <c r="E177" s="1"/>
      <c r="F177" s="1"/>
      <c r="G177" s="1"/>
      <c r="H177" s="1"/>
      <c r="I177" s="1"/>
      <c r="J177" s="1"/>
      <c r="K177" s="1"/>
      <c r="L177" s="280"/>
      <c r="N177" s="1"/>
      <c r="O177" s="1"/>
      <c r="P177" s="1"/>
      <c r="Q177" s="1"/>
      <c r="R177" s="1"/>
      <c r="S177" s="1"/>
      <c r="T177" s="1"/>
    </row>
    <row r="178" spans="1:20" x14ac:dyDescent="0.2">
      <c r="A178" s="371" t="s">
        <v>1226</v>
      </c>
      <c r="B178" s="1" t="s">
        <v>1227</v>
      </c>
      <c r="L178" s="285"/>
    </row>
    <row r="179" spans="1:20" customFormat="1" x14ac:dyDescent="0.2">
      <c r="A179" s="281"/>
      <c r="B179" s="1" t="s">
        <v>1228</v>
      </c>
      <c r="C179" s="1"/>
      <c r="D179" s="1"/>
      <c r="E179" s="1"/>
      <c r="F179" s="1"/>
      <c r="G179" s="1"/>
      <c r="H179" s="1"/>
      <c r="I179" s="1"/>
      <c r="J179" s="1"/>
      <c r="K179" s="1"/>
      <c r="L179" s="280"/>
      <c r="N179" s="1"/>
      <c r="O179" s="1"/>
      <c r="P179" s="1"/>
      <c r="Q179" s="1"/>
      <c r="R179" s="1"/>
      <c r="S179" s="1"/>
      <c r="T179" s="1"/>
    </row>
    <row r="180" spans="1:20" customFormat="1" x14ac:dyDescent="0.2">
      <c r="A180" s="281"/>
      <c r="B180" s="1" t="s">
        <v>1229</v>
      </c>
      <c r="C180" s="1"/>
      <c r="D180" s="1"/>
      <c r="E180" s="1"/>
      <c r="F180" s="1"/>
      <c r="G180" s="1"/>
      <c r="H180" s="1"/>
      <c r="I180" s="1"/>
      <c r="J180" s="1"/>
      <c r="K180" s="1"/>
      <c r="L180" s="280"/>
      <c r="N180" s="1"/>
      <c r="O180" s="1"/>
      <c r="P180" s="1"/>
      <c r="Q180" s="1"/>
      <c r="R180" s="1"/>
      <c r="S180" s="1"/>
      <c r="T180" s="1"/>
    </row>
    <row r="181" spans="1:20" customFormat="1" x14ac:dyDescent="0.2">
      <c r="A181" s="281"/>
      <c r="B181" s="1"/>
      <c r="C181" s="1"/>
      <c r="D181" s="1"/>
      <c r="E181" s="1"/>
      <c r="F181" s="1"/>
      <c r="G181" s="1"/>
      <c r="H181" s="1"/>
      <c r="I181" s="1"/>
      <c r="J181" s="1"/>
      <c r="K181" s="1"/>
      <c r="L181" s="280"/>
      <c r="N181" s="1"/>
      <c r="O181" s="1"/>
      <c r="P181" s="1"/>
      <c r="Q181" s="1"/>
      <c r="R181" s="1"/>
      <c r="S181" s="1"/>
      <c r="T181" s="1"/>
    </row>
    <row r="182" spans="1:20" customFormat="1" x14ac:dyDescent="0.2">
      <c r="A182" s="278"/>
      <c r="B182" s="1"/>
      <c r="C182" s="1"/>
      <c r="D182" s="1"/>
      <c r="E182" s="1"/>
      <c r="F182" s="1"/>
      <c r="G182" s="1"/>
      <c r="H182" s="1"/>
      <c r="I182" s="1"/>
      <c r="J182" s="1"/>
      <c r="K182" s="1"/>
      <c r="L182" s="280"/>
      <c r="N182" s="1"/>
      <c r="O182" s="1"/>
      <c r="P182" s="1"/>
      <c r="Q182" s="1"/>
      <c r="R182" s="1"/>
      <c r="S182" s="1"/>
      <c r="T182" s="1"/>
    </row>
    <row r="183" spans="1:20" customFormat="1" x14ac:dyDescent="0.2">
      <c r="A183" s="372"/>
      <c r="B183" s="237"/>
      <c r="C183" s="20" t="s">
        <v>24</v>
      </c>
      <c r="D183" s="19" t="str">
        <f>I2</f>
        <v>XXXXXX</v>
      </c>
      <c r="E183" s="1"/>
      <c r="F183" s="1"/>
      <c r="G183" s="1"/>
      <c r="H183" s="1"/>
      <c r="I183" s="1"/>
      <c r="J183" s="1"/>
      <c r="K183" s="1"/>
      <c r="L183" s="280"/>
      <c r="N183" s="1"/>
      <c r="O183" s="1"/>
      <c r="P183" s="1"/>
      <c r="Q183" s="1"/>
      <c r="R183" s="1"/>
      <c r="S183" s="1"/>
      <c r="T183" s="1"/>
    </row>
    <row r="184" spans="1:20" customFormat="1" x14ac:dyDescent="0.2">
      <c r="A184" s="373"/>
      <c r="B184" s="61"/>
      <c r="C184" s="9"/>
      <c r="D184" s="239" t="str">
        <f>I1</f>
        <v>P_CASABISIRB_CAP</v>
      </c>
      <c r="E184" s="1"/>
      <c r="F184" s="1"/>
      <c r="G184" s="1"/>
      <c r="H184" s="1"/>
      <c r="I184" s="1"/>
      <c r="J184" s="1"/>
      <c r="K184" s="1"/>
      <c r="L184" s="280"/>
      <c r="N184" s="1"/>
      <c r="O184" s="1"/>
      <c r="P184" s="1"/>
      <c r="Q184" s="1"/>
      <c r="R184" s="1"/>
      <c r="S184" s="1"/>
      <c r="T184" s="1"/>
    </row>
    <row r="185" spans="1:20" customFormat="1" x14ac:dyDescent="0.2">
      <c r="A185" s="373"/>
      <c r="B185" s="61"/>
      <c r="C185" s="9"/>
      <c r="D185" s="239" t="str">
        <f>I3</f>
        <v>DD.MM.YYYY</v>
      </c>
      <c r="E185" s="1"/>
      <c r="F185" s="1"/>
      <c r="G185" s="1"/>
      <c r="H185" s="1"/>
      <c r="I185" s="1"/>
      <c r="J185" s="1"/>
      <c r="K185" s="1"/>
      <c r="L185" s="280"/>
      <c r="N185" s="1"/>
      <c r="O185" s="1"/>
      <c r="P185" s="1"/>
      <c r="Q185" s="1"/>
      <c r="R185" s="1"/>
      <c r="S185" s="1"/>
      <c r="T185" s="1"/>
    </row>
    <row r="186" spans="1:20" customFormat="1" x14ac:dyDescent="0.2">
      <c r="A186" s="373"/>
      <c r="B186" s="61"/>
      <c r="C186" s="9"/>
      <c r="D186" s="16" t="s">
        <v>1230</v>
      </c>
      <c r="E186" s="1"/>
      <c r="F186" s="1"/>
      <c r="G186" s="1"/>
      <c r="H186" s="1"/>
      <c r="I186" s="1"/>
      <c r="J186" s="1"/>
      <c r="K186" s="1"/>
      <c r="L186" s="280"/>
      <c r="N186" s="1"/>
      <c r="O186" s="1"/>
      <c r="P186" s="1"/>
      <c r="Q186" s="1"/>
      <c r="R186" s="1"/>
      <c r="S186" s="1"/>
      <c r="T186" s="1"/>
    </row>
    <row r="187" spans="1:20" x14ac:dyDescent="0.2">
      <c r="A187" s="373"/>
      <c r="B187" s="61"/>
      <c r="C187" s="9"/>
      <c r="D187" s="216" t="str">
        <f>I10</f>
        <v>col. 01</v>
      </c>
    </row>
    <row r="188" spans="1:20" x14ac:dyDescent="0.2">
      <c r="A188" s="373"/>
      <c r="B188" s="61"/>
      <c r="C188" s="9"/>
      <c r="D188" s="374">
        <f>COUNTIF(K11:L175,"ERROR")</f>
        <v>0</v>
      </c>
    </row>
    <row r="189" spans="1:20" x14ac:dyDescent="0.2">
      <c r="A189" s="375"/>
      <c r="B189" s="212"/>
      <c r="C189" s="376"/>
      <c r="D189" s="377">
        <f>COUNTIF(K11:L175,"Warning")</f>
        <v>0</v>
      </c>
    </row>
    <row r="190" spans="1:20" x14ac:dyDescent="0.2">
      <c r="A190" s="281"/>
      <c r="B190" s="242"/>
      <c r="C190" s="8"/>
      <c r="D190" s="9"/>
    </row>
  </sheetData>
  <mergeCells count="164">
    <mergeCell ref="B166:G166"/>
    <mergeCell ref="B161:G161"/>
    <mergeCell ref="B162:G162"/>
    <mergeCell ref="B163:G163"/>
    <mergeCell ref="B164:G164"/>
    <mergeCell ref="B165:G165"/>
    <mergeCell ref="B173:G173"/>
    <mergeCell ref="B174:G174"/>
    <mergeCell ref="B175:G175"/>
    <mergeCell ref="B167:G167"/>
    <mergeCell ref="B168:G168"/>
    <mergeCell ref="B169:G169"/>
    <mergeCell ref="B170:G170"/>
    <mergeCell ref="B171:G171"/>
    <mergeCell ref="B172:G172"/>
    <mergeCell ref="B146:G146"/>
    <mergeCell ref="B147:G147"/>
    <mergeCell ref="B148:G148"/>
    <mergeCell ref="B155:G155"/>
    <mergeCell ref="B156:G156"/>
    <mergeCell ref="B157:G157"/>
    <mergeCell ref="B158:G158"/>
    <mergeCell ref="B159:G159"/>
    <mergeCell ref="B160:G160"/>
    <mergeCell ref="B149:G149"/>
    <mergeCell ref="B150:G150"/>
    <mergeCell ref="B151:G151"/>
    <mergeCell ref="B152:G152"/>
    <mergeCell ref="B153:G153"/>
    <mergeCell ref="B154:G154"/>
    <mergeCell ref="B141:G141"/>
    <mergeCell ref="B142:G142"/>
    <mergeCell ref="B143:G143"/>
    <mergeCell ref="B144:G144"/>
    <mergeCell ref="B145:G145"/>
    <mergeCell ref="B135:G135"/>
    <mergeCell ref="B136:G136"/>
    <mergeCell ref="B137:G137"/>
    <mergeCell ref="B138:G138"/>
    <mergeCell ref="B139:G139"/>
    <mergeCell ref="B140:G140"/>
    <mergeCell ref="B130:G130"/>
    <mergeCell ref="B131:G131"/>
    <mergeCell ref="B132:G132"/>
    <mergeCell ref="B133:G133"/>
    <mergeCell ref="B134:G134"/>
    <mergeCell ref="B123:G123"/>
    <mergeCell ref="B124:G124"/>
    <mergeCell ref="B125:G125"/>
    <mergeCell ref="B126:G126"/>
    <mergeCell ref="B127:G127"/>
    <mergeCell ref="B128:G128"/>
    <mergeCell ref="B121:G121"/>
    <mergeCell ref="B122:G122"/>
    <mergeCell ref="B115:G115"/>
    <mergeCell ref="B116:G116"/>
    <mergeCell ref="B117:G117"/>
    <mergeCell ref="B118:G118"/>
    <mergeCell ref="B119:G119"/>
    <mergeCell ref="B120:G120"/>
    <mergeCell ref="B129:G129"/>
    <mergeCell ref="B110:G110"/>
    <mergeCell ref="B111:G111"/>
    <mergeCell ref="B112:G112"/>
    <mergeCell ref="B113:G113"/>
    <mergeCell ref="B114:G114"/>
    <mergeCell ref="B103:G103"/>
    <mergeCell ref="B104:G104"/>
    <mergeCell ref="B105:G105"/>
    <mergeCell ref="B106:G106"/>
    <mergeCell ref="B107:G107"/>
    <mergeCell ref="B108:G108"/>
    <mergeCell ref="B101:G101"/>
    <mergeCell ref="B102:G102"/>
    <mergeCell ref="B95:G95"/>
    <mergeCell ref="B96:G96"/>
    <mergeCell ref="B97:G97"/>
    <mergeCell ref="B98:G98"/>
    <mergeCell ref="B99:G99"/>
    <mergeCell ref="B100:G100"/>
    <mergeCell ref="B109:G109"/>
    <mergeCell ref="B89:G89"/>
    <mergeCell ref="B90:G90"/>
    <mergeCell ref="B91:G91"/>
    <mergeCell ref="B92:G92"/>
    <mergeCell ref="B93:G93"/>
    <mergeCell ref="B94:G94"/>
    <mergeCell ref="B83:G83"/>
    <mergeCell ref="B84:G84"/>
    <mergeCell ref="B85:G85"/>
    <mergeCell ref="B86:G86"/>
    <mergeCell ref="B87:G87"/>
    <mergeCell ref="B88:G88"/>
    <mergeCell ref="B77:G77"/>
    <mergeCell ref="B78:G78"/>
    <mergeCell ref="B79:G79"/>
    <mergeCell ref="B80:G80"/>
    <mergeCell ref="B81:G81"/>
    <mergeCell ref="B82:G82"/>
    <mergeCell ref="B71:G71"/>
    <mergeCell ref="B72:G72"/>
    <mergeCell ref="B73:G73"/>
    <mergeCell ref="B74:G74"/>
    <mergeCell ref="B75:G75"/>
    <mergeCell ref="B76:G76"/>
    <mergeCell ref="B65:G65"/>
    <mergeCell ref="B66:G66"/>
    <mergeCell ref="B67:G67"/>
    <mergeCell ref="B68:G68"/>
    <mergeCell ref="B69:G69"/>
    <mergeCell ref="B70:G70"/>
    <mergeCell ref="B59:G59"/>
    <mergeCell ref="B60:G60"/>
    <mergeCell ref="B61:G61"/>
    <mergeCell ref="B62:G62"/>
    <mergeCell ref="B63:G63"/>
    <mergeCell ref="B64:G64"/>
    <mergeCell ref="B55:G55"/>
    <mergeCell ref="B56:G56"/>
    <mergeCell ref="B57:G57"/>
    <mergeCell ref="B58:G58"/>
    <mergeCell ref="B49:G49"/>
    <mergeCell ref="B50:G50"/>
    <mergeCell ref="B51:G51"/>
    <mergeCell ref="B52:G52"/>
    <mergeCell ref="B53:G53"/>
    <mergeCell ref="B54:G54"/>
    <mergeCell ref="B43:G43"/>
    <mergeCell ref="B44:G44"/>
    <mergeCell ref="B45:G45"/>
    <mergeCell ref="B46:G46"/>
    <mergeCell ref="B47:G47"/>
    <mergeCell ref="B48:G48"/>
    <mergeCell ref="B37:G37"/>
    <mergeCell ref="B38:G38"/>
    <mergeCell ref="B39:G39"/>
    <mergeCell ref="B40:G40"/>
    <mergeCell ref="B41:G41"/>
    <mergeCell ref="B42:G42"/>
    <mergeCell ref="B31:G31"/>
    <mergeCell ref="B32:G32"/>
    <mergeCell ref="B33:G33"/>
    <mergeCell ref="B34:G34"/>
    <mergeCell ref="B35:G35"/>
    <mergeCell ref="B36:G36"/>
    <mergeCell ref="B25:G25"/>
    <mergeCell ref="B26:G26"/>
    <mergeCell ref="B27:G27"/>
    <mergeCell ref="B28:G28"/>
    <mergeCell ref="B29:G29"/>
    <mergeCell ref="B30:G30"/>
    <mergeCell ref="B14:G14"/>
    <mergeCell ref="B13:G13"/>
    <mergeCell ref="B12:G12"/>
    <mergeCell ref="B18:G18"/>
    <mergeCell ref="B19:G19"/>
    <mergeCell ref="B20:G20"/>
    <mergeCell ref="B22:G22"/>
    <mergeCell ref="B23:G23"/>
    <mergeCell ref="B24:G24"/>
    <mergeCell ref="B15:G15"/>
    <mergeCell ref="B16:G16"/>
    <mergeCell ref="B17:G17"/>
    <mergeCell ref="B21:G21"/>
  </mergeCells>
  <phoneticPr fontId="7" type="noConversion"/>
  <dataValidations disablePrompts="1" count="1">
    <dataValidation type="decimal" operator="notEqual" allowBlank="1" showInputMessage="1" showErrorMessage="1" errorTitle="Zahl" error="Hier ist nur ein Zahlenwert erlaubt" sqref="H157:H163 H118 I124 H154 H18:H19 G14 H24:H27 H13:H16 H29:H30 G32:H32 G176:H176 G166:H174" xr:uid="{00000000-0002-0000-0600-000000000000}">
      <formula1>9.99999999999999</formula1>
    </dataValidation>
  </dataValidations>
  <printOptions gridLines="1" gridLinesSet="0"/>
  <pageMargins left="0.59055118110236227" right="0.59055118110236227" top="0.78740157480314965" bottom="0.39370078740157483" header="0.31496062992125984" footer="0.31496062992125984"/>
  <pageSetup paperSize="9" scale="52" fitToHeight="3" pageOrder="overThenDown" orientation="portrait" r:id="rId1"/>
  <headerFooter alignWithMargins="0">
    <oddFooter>&amp;L&amp;"Arial,Fett"SNB Confidential&amp;C&amp;D&amp;RPage &amp;P</oddFooter>
  </headerFooter>
  <rowBreaks count="5" manualBreakCount="5">
    <brk id="41" max="9" man="1"/>
    <brk id="73" max="9" man="1"/>
    <brk id="93" max="9" man="1"/>
    <brk id="116" max="9" man="1"/>
    <brk id="144" max="9"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tabColor rgb="FF00B0F0"/>
  </sheetPr>
  <dimension ref="A1:T112"/>
  <sheetViews>
    <sheetView zoomScaleNormal="100" workbookViewId="0">
      <selection activeCell="R13" sqref="R13"/>
    </sheetView>
  </sheetViews>
  <sheetFormatPr defaultColWidth="13.42578125" defaultRowHeight="12.75" x14ac:dyDescent="0.2"/>
  <cols>
    <col min="1" max="1" width="13" style="278" customWidth="1"/>
    <col min="2" max="2" width="32.5703125" style="1" customWidth="1"/>
    <col min="3" max="3" width="13.42578125" style="1" customWidth="1"/>
    <col min="4" max="4" width="15.5703125" style="1" customWidth="1"/>
    <col min="5" max="5" width="10.5703125" style="1" customWidth="1"/>
    <col min="6" max="6" width="15.5703125" style="1" customWidth="1"/>
    <col min="7" max="7" width="35" style="1" customWidth="1"/>
    <col min="8" max="8" width="1.5703125" style="1" customWidth="1"/>
    <col min="9" max="9" width="25.42578125" style="1" customWidth="1"/>
    <col min="10" max="10" width="5.42578125" style="1" bestFit="1" customWidth="1"/>
    <col min="11" max="11" width="13" style="332" customWidth="1"/>
    <col min="12" max="12" width="13.42578125" style="1330"/>
    <col min="13" max="13" width="4.5703125" style="1338" customWidth="1"/>
    <col min="14" max="14" width="13.42578125" style="870"/>
    <col min="15" max="21" width="10" style="332" customWidth="1"/>
    <col min="22" max="16384" width="13.42578125" style="332"/>
  </cols>
  <sheetData>
    <row r="1" spans="1:15" ht="25.35" customHeight="1" x14ac:dyDescent="0.2">
      <c r="H1" s="101" t="s">
        <v>100</v>
      </c>
      <c r="I1" s="378" t="s">
        <v>2242</v>
      </c>
    </row>
    <row r="2" spans="1:15" ht="25.35" customHeight="1" x14ac:dyDescent="0.2">
      <c r="A2" s="281"/>
      <c r="B2" s="9"/>
      <c r="H2" s="101" t="s">
        <v>98</v>
      </c>
      <c r="I2" s="203" t="s">
        <v>119</v>
      </c>
    </row>
    <row r="3" spans="1:15" ht="25.35" customHeight="1" x14ac:dyDescent="0.2">
      <c r="H3" s="101" t="s">
        <v>96</v>
      </c>
      <c r="I3" s="201" t="s">
        <v>121</v>
      </c>
    </row>
    <row r="4" spans="1:15" ht="18" x14ac:dyDescent="0.25">
      <c r="A4" s="281"/>
      <c r="B4" s="106" t="s">
        <v>2250</v>
      </c>
      <c r="C4" s="200"/>
      <c r="D4" s="543" t="s">
        <v>2075</v>
      </c>
      <c r="E4" s="544"/>
      <c r="F4" s="544"/>
      <c r="G4" s="544"/>
      <c r="H4" s="544"/>
      <c r="I4" s="544"/>
    </row>
    <row r="5" spans="1:15" ht="18" x14ac:dyDescent="0.25">
      <c r="A5" s="284"/>
      <c r="B5" s="284"/>
      <c r="C5" s="198"/>
      <c r="D5" s="104" t="s">
        <v>99</v>
      </c>
    </row>
    <row r="6" spans="1:15" ht="20.100000000000001" customHeight="1" x14ac:dyDescent="0.2">
      <c r="A6" s="284"/>
      <c r="B6" s="284"/>
      <c r="D6" s="1" t="s">
        <v>351</v>
      </c>
      <c r="G6" s="207"/>
      <c r="H6" s="207"/>
      <c r="I6" s="207"/>
    </row>
    <row r="7" spans="1:15" x14ac:dyDescent="0.2">
      <c r="A7" s="284"/>
      <c r="B7" s="284"/>
      <c r="G7" s="207"/>
      <c r="H7" s="207"/>
    </row>
    <row r="8" spans="1:15" ht="16.350000000000001" customHeight="1" x14ac:dyDescent="0.2">
      <c r="A8" s="284"/>
      <c r="B8" s="284"/>
      <c r="C8" s="196"/>
      <c r="J8" s="12"/>
      <c r="K8" s="260"/>
      <c r="L8" s="1340"/>
    </row>
    <row r="9" spans="1:15" ht="22.5" customHeight="1" x14ac:dyDescent="0.2">
      <c r="A9" s="286"/>
      <c r="B9" s="215"/>
      <c r="C9" s="194"/>
      <c r="D9" s="215"/>
      <c r="E9" s="215"/>
      <c r="F9" s="215"/>
      <c r="G9" s="215"/>
      <c r="H9" s="209"/>
      <c r="I9" s="287" t="s">
        <v>353</v>
      </c>
      <c r="J9" s="88"/>
      <c r="K9" s="334"/>
      <c r="L9" s="1337" t="s">
        <v>354</v>
      </c>
      <c r="N9" s="1341" t="s">
        <v>2251</v>
      </c>
    </row>
    <row r="10" spans="1:15" ht="29.1" customHeight="1" x14ac:dyDescent="0.2">
      <c r="A10" s="288"/>
      <c r="B10" s="12"/>
      <c r="C10" s="12"/>
      <c r="D10" s="12"/>
      <c r="E10" s="12"/>
      <c r="F10" s="12"/>
      <c r="G10" s="212"/>
      <c r="H10" s="213"/>
      <c r="I10" s="59" t="s">
        <v>22</v>
      </c>
      <c r="J10" s="58"/>
      <c r="K10" s="1342"/>
      <c r="L10" s="1340"/>
    </row>
    <row r="11" spans="1:15" ht="7.5" customHeight="1" x14ac:dyDescent="0.2">
      <c r="A11" s="281"/>
      <c r="G11" s="215"/>
      <c r="H11" s="216"/>
      <c r="I11" s="217"/>
      <c r="J11" s="31"/>
      <c r="K11" s="334"/>
      <c r="L11" s="1340"/>
    </row>
    <row r="12" spans="1:15" ht="42.75" customHeight="1" thickBot="1" x14ac:dyDescent="0.3">
      <c r="A12" s="379" t="s">
        <v>671</v>
      </c>
      <c r="B12" s="1627" t="s">
        <v>2072</v>
      </c>
      <c r="C12" s="1628"/>
      <c r="D12" s="1628"/>
      <c r="E12" s="1628"/>
      <c r="F12" s="1628"/>
      <c r="G12" s="1628"/>
      <c r="H12" s="216"/>
      <c r="I12" s="549">
        <f>I15+I38+SUM(I60:I61,I68:I69,I71:I73,I75:I78)+I79+I83+SUM(I86:I87)+I62</f>
        <v>309935655</v>
      </c>
      <c r="J12" s="31">
        <v>93</v>
      </c>
      <c r="K12" s="334"/>
      <c r="L12" s="1020" t="str">
        <f>IF(I12&gt;0,"OK","ERROR")</f>
        <v>OK</v>
      </c>
      <c r="N12" s="1338"/>
      <c r="O12" s="1338"/>
    </row>
    <row r="13" spans="1:15" ht="67.5" customHeight="1" thickTop="1" thickBot="1" x14ac:dyDescent="0.3">
      <c r="A13" s="380" t="s">
        <v>673</v>
      </c>
      <c r="B13" s="1618" t="s">
        <v>1495</v>
      </c>
      <c r="C13" s="1629"/>
      <c r="D13" s="1629"/>
      <c r="E13" s="1629"/>
      <c r="F13" s="1629"/>
      <c r="G13" s="1629"/>
      <c r="H13" s="216"/>
      <c r="I13" s="549">
        <f>I15+I38+SUM(I60:I61,I68:I69,I71:I73,I75:I78)+I62</f>
        <v>33737500</v>
      </c>
      <c r="J13" s="31">
        <v>94</v>
      </c>
      <c r="K13" s="334"/>
      <c r="L13" s="1020" t="str">
        <f>IF(I13&gt;0,"OK","ERROR")</f>
        <v>OK</v>
      </c>
      <c r="N13" s="1338"/>
      <c r="O13" s="1338"/>
    </row>
    <row r="14" spans="1:15" ht="14.45" customHeight="1" thickTop="1" x14ac:dyDescent="0.2">
      <c r="A14" s="716" t="s">
        <v>241</v>
      </c>
      <c r="B14" s="1625" t="s">
        <v>2010</v>
      </c>
      <c r="C14" s="1626"/>
      <c r="D14" s="1626"/>
      <c r="E14" s="1626"/>
      <c r="F14" s="1626"/>
      <c r="G14" s="1626"/>
      <c r="H14" s="222"/>
      <c r="I14" s="908"/>
      <c r="J14" s="229" t="s">
        <v>241</v>
      </c>
      <c r="K14" s="334"/>
      <c r="L14" s="1020" t="str">
        <f>IF(I14&gt;=0,"OK","ERROR")</f>
        <v>OK</v>
      </c>
      <c r="N14" s="1338"/>
      <c r="O14" s="1338"/>
    </row>
    <row r="15" spans="1:15" ht="44.1" customHeight="1" thickBot="1" x14ac:dyDescent="0.25">
      <c r="A15" s="383" t="s">
        <v>675</v>
      </c>
      <c r="B15" s="1608" t="s">
        <v>1819</v>
      </c>
      <c r="C15" s="1609"/>
      <c r="D15" s="1609"/>
      <c r="E15" s="1609"/>
      <c r="F15" s="1609"/>
      <c r="G15" s="1609"/>
      <c r="H15" s="216"/>
      <c r="I15" s="549">
        <f>I17+I18+I22+I29+I23+I36</f>
        <v>17150000</v>
      </c>
      <c r="J15" s="393">
        <v>95</v>
      </c>
      <c r="K15" s="334"/>
      <c r="L15" s="1343" t="str">
        <f>IF(I15&gt;=0,"OK","ERROR")</f>
        <v>OK</v>
      </c>
      <c r="N15" s="1338"/>
      <c r="O15" s="1338"/>
    </row>
    <row r="16" spans="1:15" ht="21.6" customHeight="1" thickTop="1" x14ac:dyDescent="0.2">
      <c r="A16" s="716" t="s">
        <v>241</v>
      </c>
      <c r="B16" s="1625" t="s">
        <v>1704</v>
      </c>
      <c r="C16" s="1626"/>
      <c r="D16" s="1626"/>
      <c r="E16" s="1626"/>
      <c r="F16" s="1626"/>
      <c r="G16" s="1626"/>
      <c r="H16" s="222"/>
      <c r="I16" s="908"/>
      <c r="J16" s="229" t="s">
        <v>241</v>
      </c>
      <c r="K16" s="334"/>
      <c r="L16" s="1020" t="str">
        <f>IF(I16&gt;=0,"OK","ERROR")</f>
        <v>OK</v>
      </c>
      <c r="N16" s="1338"/>
      <c r="O16" s="1338"/>
    </row>
    <row r="17" spans="1:15" ht="35.85" customHeight="1" x14ac:dyDescent="0.2">
      <c r="A17" s="1319" t="s">
        <v>1820</v>
      </c>
      <c r="B17" s="1608" t="s">
        <v>1373</v>
      </c>
      <c r="C17" s="1609"/>
      <c r="D17" s="1609"/>
      <c r="E17" s="1609"/>
      <c r="F17" s="1609"/>
      <c r="G17" s="1609"/>
      <c r="H17" s="216"/>
      <c r="I17" s="928">
        <v>50000</v>
      </c>
      <c r="J17" s="31">
        <v>102</v>
      </c>
      <c r="K17" s="334"/>
      <c r="L17" s="1020" t="str">
        <f t="shared" ref="L17:L36" si="0">IF(I17&gt;=0,"OK","ERROR")</f>
        <v>OK</v>
      </c>
      <c r="N17" s="870" t="s">
        <v>1840</v>
      </c>
      <c r="O17" s="1338"/>
    </row>
    <row r="18" spans="1:15" ht="37.5" customHeight="1" thickBot="1" x14ac:dyDescent="0.25">
      <c r="A18" s="1322" t="s">
        <v>1536</v>
      </c>
      <c r="B18" s="1608" t="s">
        <v>1374</v>
      </c>
      <c r="C18" s="1609"/>
      <c r="D18" s="1609"/>
      <c r="E18" s="1609"/>
      <c r="F18" s="1609"/>
      <c r="G18" s="1609"/>
      <c r="H18" s="216"/>
      <c r="I18" s="32">
        <f>SUM(I20:I20)</f>
        <v>2000000</v>
      </c>
      <c r="J18" s="31">
        <v>104</v>
      </c>
      <c r="K18" s="334"/>
      <c r="L18" s="1020" t="str">
        <f t="shared" si="0"/>
        <v>OK</v>
      </c>
      <c r="N18" s="870" t="s">
        <v>1839</v>
      </c>
      <c r="O18" s="1338"/>
    </row>
    <row r="19" spans="1:15" ht="37.5" customHeight="1" thickTop="1" x14ac:dyDescent="0.2">
      <c r="A19" s="962" t="s">
        <v>1821</v>
      </c>
      <c r="B19" s="1625" t="s">
        <v>1376</v>
      </c>
      <c r="C19" s="1626"/>
      <c r="D19" s="1626"/>
      <c r="E19" s="1626"/>
      <c r="F19" s="1626"/>
      <c r="G19" s="1626"/>
      <c r="H19" s="222"/>
      <c r="I19" s="908"/>
      <c r="J19" s="229" t="s">
        <v>241</v>
      </c>
      <c r="K19" s="334"/>
      <c r="L19" s="1020" t="str">
        <f t="shared" si="0"/>
        <v>OK</v>
      </c>
      <c r="N19" s="870" t="s">
        <v>1841</v>
      </c>
      <c r="O19" s="1338"/>
    </row>
    <row r="20" spans="1:15" ht="35.85" customHeight="1" x14ac:dyDescent="0.2">
      <c r="A20" s="1319" t="s">
        <v>1822</v>
      </c>
      <c r="B20" s="1608" t="s">
        <v>1375</v>
      </c>
      <c r="C20" s="1609"/>
      <c r="D20" s="1609"/>
      <c r="E20" s="1609"/>
      <c r="F20" s="1609"/>
      <c r="G20" s="1609"/>
      <c r="H20" s="216"/>
      <c r="I20" s="1391">
        <v>2000000</v>
      </c>
      <c r="J20" s="31">
        <v>105</v>
      </c>
      <c r="K20" s="334"/>
      <c r="L20" s="1020" t="str">
        <f t="shared" si="0"/>
        <v>OK</v>
      </c>
      <c r="N20" s="1344" t="s">
        <v>1943</v>
      </c>
      <c r="O20" s="1338"/>
    </row>
    <row r="21" spans="1:15" ht="37.5" customHeight="1" x14ac:dyDescent="0.2">
      <c r="A21" s="962" t="s">
        <v>1823</v>
      </c>
      <c r="B21" s="1621" t="s">
        <v>1705</v>
      </c>
      <c r="C21" s="1622"/>
      <c r="D21" s="1622"/>
      <c r="E21" s="1622"/>
      <c r="F21" s="1622"/>
      <c r="G21" s="1622"/>
      <c r="H21" s="222"/>
      <c r="I21" s="814"/>
      <c r="J21" s="229" t="s">
        <v>241</v>
      </c>
      <c r="K21" s="334"/>
      <c r="L21" s="1020" t="str">
        <f t="shared" si="0"/>
        <v>OK</v>
      </c>
      <c r="N21" s="1344" t="s">
        <v>1944</v>
      </c>
      <c r="O21" s="1338"/>
    </row>
    <row r="22" spans="1:15" ht="35.85" customHeight="1" x14ac:dyDescent="0.2">
      <c r="A22" s="1035" t="s">
        <v>1825</v>
      </c>
      <c r="B22" s="1608" t="s">
        <v>1377</v>
      </c>
      <c r="C22" s="1609"/>
      <c r="D22" s="1609"/>
      <c r="E22" s="1609"/>
      <c r="F22" s="1609"/>
      <c r="G22" s="1609"/>
      <c r="H22" s="216"/>
      <c r="I22" s="1391">
        <v>15000000</v>
      </c>
      <c r="J22" s="31">
        <v>109</v>
      </c>
      <c r="K22" s="334"/>
      <c r="L22" s="1020" t="str">
        <f t="shared" si="0"/>
        <v>OK</v>
      </c>
      <c r="N22" s="1344" t="s">
        <v>1945</v>
      </c>
      <c r="O22" s="1338"/>
    </row>
    <row r="23" spans="1:15" ht="35.85" customHeight="1" x14ac:dyDescent="0.2">
      <c r="A23" s="1035" t="s">
        <v>1824</v>
      </c>
      <c r="B23" s="1608" t="s">
        <v>1380</v>
      </c>
      <c r="C23" s="1609"/>
      <c r="D23" s="1609"/>
      <c r="E23" s="1609"/>
      <c r="F23" s="1609"/>
      <c r="G23" s="1609"/>
      <c r="H23" s="216"/>
      <c r="I23" s="1391">
        <v>0</v>
      </c>
      <c r="J23" s="31">
        <v>113</v>
      </c>
      <c r="K23" s="334"/>
      <c r="L23" s="1020" t="str">
        <f>IF(I23&gt;=0,"OK","ERROR")</f>
        <v>OK</v>
      </c>
      <c r="N23" s="1344" t="s">
        <v>1946</v>
      </c>
      <c r="O23" s="1338"/>
    </row>
    <row r="24" spans="1:15" ht="26.25" thickBot="1" x14ac:dyDescent="0.25">
      <c r="A24" s="1037" t="s">
        <v>1826</v>
      </c>
      <c r="B24" s="1623" t="s">
        <v>1381</v>
      </c>
      <c r="C24" s="1623"/>
      <c r="D24" s="1623"/>
      <c r="E24" s="1623"/>
      <c r="F24" s="1623"/>
      <c r="G24" s="1623"/>
      <c r="H24" s="222"/>
      <c r="I24" s="223">
        <f>SUM(I25:I27)</f>
        <v>10000000</v>
      </c>
      <c r="J24" s="158" t="s">
        <v>241</v>
      </c>
      <c r="K24" s="260"/>
      <c r="L24" s="1020" t="str">
        <f>IF(I24&gt;=0,"OK","ERROR")</f>
        <v>OK</v>
      </c>
      <c r="O24" s="1338"/>
    </row>
    <row r="25" spans="1:15" ht="21.6" customHeight="1" thickTop="1" x14ac:dyDescent="0.2">
      <c r="A25" s="1036" t="s">
        <v>1827</v>
      </c>
      <c r="B25" s="1619" t="s">
        <v>1378</v>
      </c>
      <c r="C25" s="1619"/>
      <c r="D25" s="1619"/>
      <c r="E25" s="1619"/>
      <c r="F25" s="1619"/>
      <c r="G25" s="1619"/>
      <c r="H25" s="222"/>
      <c r="I25" s="159">
        <v>3000000</v>
      </c>
      <c r="J25" s="158">
        <v>609</v>
      </c>
      <c r="K25" s="334"/>
      <c r="L25" s="577" t="str">
        <f>IF(I25&gt;=0,"OK","ERROR")</f>
        <v>OK</v>
      </c>
      <c r="N25" s="1344" t="s">
        <v>2168</v>
      </c>
      <c r="O25" s="1338"/>
    </row>
    <row r="26" spans="1:15" ht="21.6" customHeight="1" x14ac:dyDescent="0.2">
      <c r="A26" s="1036" t="s">
        <v>1828</v>
      </c>
      <c r="B26" s="1619" t="s">
        <v>1379</v>
      </c>
      <c r="C26" s="1619"/>
      <c r="D26" s="1619"/>
      <c r="E26" s="1619"/>
      <c r="F26" s="1619"/>
      <c r="G26" s="1619"/>
      <c r="H26" s="222"/>
      <c r="I26" s="159">
        <v>10000000</v>
      </c>
      <c r="J26" s="158">
        <v>610</v>
      </c>
      <c r="K26" s="260"/>
      <c r="L26" s="577" t="str">
        <f>IF(I26&gt;=0,"OK","ERROR")</f>
        <v>OK</v>
      </c>
      <c r="N26" s="1344" t="s">
        <v>2169</v>
      </c>
      <c r="O26" s="1338"/>
    </row>
    <row r="27" spans="1:15" ht="21.6" customHeight="1" x14ac:dyDescent="0.2">
      <c r="A27" s="1036" t="s">
        <v>1829</v>
      </c>
      <c r="B27" s="1619" t="s">
        <v>1830</v>
      </c>
      <c r="C27" s="1619"/>
      <c r="D27" s="1619"/>
      <c r="E27" s="1619"/>
      <c r="F27" s="1619"/>
      <c r="G27" s="1619"/>
      <c r="H27" s="222"/>
      <c r="I27" s="159">
        <v>-3000000</v>
      </c>
      <c r="J27" s="158">
        <v>611</v>
      </c>
      <c r="K27" s="260"/>
      <c r="L27" s="577" t="str">
        <f>IF(I27&lt;=0,"OK","ERROR")</f>
        <v>OK</v>
      </c>
      <c r="N27" s="870" t="s">
        <v>2170</v>
      </c>
      <c r="O27" s="1338"/>
    </row>
    <row r="28" spans="1:15" ht="27" customHeight="1" x14ac:dyDescent="0.2">
      <c r="A28" s="1037" t="s">
        <v>2078</v>
      </c>
      <c r="B28" s="1630" t="s">
        <v>2079</v>
      </c>
      <c r="C28" s="1630"/>
      <c r="D28" s="1630"/>
      <c r="E28" s="1630"/>
      <c r="F28" s="1630"/>
      <c r="G28" s="1630"/>
      <c r="H28" s="222"/>
      <c r="I28" s="905"/>
      <c r="J28" s="158" t="s">
        <v>241</v>
      </c>
      <c r="K28" s="260"/>
      <c r="L28" s="1020" t="str">
        <f>IF(I28&gt;=0,"OK","ERROR")</f>
        <v>OK</v>
      </c>
      <c r="O28" s="1338"/>
    </row>
    <row r="29" spans="1:15" ht="35.85" customHeight="1" x14ac:dyDescent="0.2">
      <c r="A29" s="1035" t="s">
        <v>1831</v>
      </c>
      <c r="B29" s="1585" t="s">
        <v>707</v>
      </c>
      <c r="C29" s="1586"/>
      <c r="D29" s="1586"/>
      <c r="E29" s="1586"/>
      <c r="F29" s="1586"/>
      <c r="G29" s="1586"/>
      <c r="H29" s="216"/>
      <c r="I29" s="928">
        <v>100000</v>
      </c>
      <c r="J29" s="31">
        <v>111</v>
      </c>
      <c r="K29" s="334"/>
      <c r="L29" s="1020" t="str">
        <f t="shared" si="0"/>
        <v>OK</v>
      </c>
      <c r="N29" s="1344" t="s">
        <v>1842</v>
      </c>
      <c r="O29" s="1338"/>
    </row>
    <row r="30" spans="1:15" ht="37.5" customHeight="1" thickBot="1" x14ac:dyDescent="0.25">
      <c r="A30" s="1037" t="s">
        <v>1832</v>
      </c>
      <c r="B30" s="1625" t="s">
        <v>1490</v>
      </c>
      <c r="C30" s="1626"/>
      <c r="D30" s="1626"/>
      <c r="E30" s="1626"/>
      <c r="F30" s="1626"/>
      <c r="G30" s="1626"/>
      <c r="H30" s="222"/>
      <c r="I30" s="223">
        <f>SUM(I31:I34)</f>
        <v>0</v>
      </c>
      <c r="J30" s="229" t="s">
        <v>241</v>
      </c>
      <c r="K30" s="334"/>
      <c r="L30" s="1020" t="str">
        <f t="shared" ref="L30:L35" si="1">IF(I30&gt;=0,"OK","ERROR")</f>
        <v>OK</v>
      </c>
      <c r="N30" s="1344" t="s">
        <v>1947</v>
      </c>
      <c r="O30" s="1338"/>
    </row>
    <row r="31" spans="1:15" ht="37.5" customHeight="1" thickTop="1" thickBot="1" x14ac:dyDescent="0.25">
      <c r="A31" s="1037" t="s">
        <v>2086</v>
      </c>
      <c r="B31" s="1615" t="s">
        <v>2164</v>
      </c>
      <c r="C31" s="1616"/>
      <c r="D31" s="1616"/>
      <c r="E31" s="1616"/>
      <c r="F31" s="1616"/>
      <c r="G31" s="1616"/>
      <c r="H31" s="222"/>
      <c r="I31" s="1389">
        <f>P_CRSABIS_10.MELD!AA24+P_CRSABIS_10.MELD!AA52</f>
        <v>0</v>
      </c>
      <c r="J31" s="229" t="s">
        <v>241</v>
      </c>
      <c r="K31" s="334"/>
      <c r="L31" s="1020" t="str">
        <f t="shared" si="1"/>
        <v>OK</v>
      </c>
      <c r="N31" s="1344" t="s">
        <v>2090</v>
      </c>
      <c r="O31" s="1338"/>
    </row>
    <row r="32" spans="1:15" ht="37.5" customHeight="1" thickTop="1" thickBot="1" x14ac:dyDescent="0.25">
      <c r="A32" s="1037" t="s">
        <v>2087</v>
      </c>
      <c r="B32" s="1615" t="s">
        <v>2165</v>
      </c>
      <c r="C32" s="1616"/>
      <c r="D32" s="1616"/>
      <c r="E32" s="1616"/>
      <c r="F32" s="1616"/>
      <c r="G32" s="1616"/>
      <c r="H32" s="222"/>
      <c r="I32" s="1389">
        <f>P_CRSABIS_11.MELD!AA23+P_CRSABIS_11.MELD!AA34+P_CRSABIS_11.MELD!AA35</f>
        <v>0</v>
      </c>
      <c r="J32" s="229" t="s">
        <v>241</v>
      </c>
      <c r="K32" s="334"/>
      <c r="L32" s="1020" t="str">
        <f t="shared" si="1"/>
        <v>OK</v>
      </c>
      <c r="N32" s="1344" t="s">
        <v>2091</v>
      </c>
      <c r="O32" s="1338"/>
    </row>
    <row r="33" spans="1:20" ht="37.5" customHeight="1" thickTop="1" thickBot="1" x14ac:dyDescent="0.25">
      <c r="A33" s="1037" t="s">
        <v>2088</v>
      </c>
      <c r="B33" s="1615" t="s">
        <v>2166</v>
      </c>
      <c r="C33" s="1616"/>
      <c r="D33" s="1616"/>
      <c r="E33" s="1616"/>
      <c r="F33" s="1616"/>
      <c r="G33" s="1616"/>
      <c r="H33" s="222"/>
      <c r="I33" s="1389">
        <f>P_CRSABIS_12.MELD!AA25+P_CRSABIS_12.MELD!AA27+P_CRSABIS_12.MELD!AA29+P_CRSABIS_12.MELD!AA36</f>
        <v>0</v>
      </c>
      <c r="J33" s="229" t="s">
        <v>241</v>
      </c>
      <c r="K33" s="334"/>
      <c r="L33" s="1020" t="str">
        <f t="shared" si="1"/>
        <v>OK</v>
      </c>
      <c r="N33" s="1344" t="s">
        <v>2092</v>
      </c>
      <c r="O33" s="1338"/>
    </row>
    <row r="34" spans="1:20" ht="37.5" customHeight="1" thickTop="1" thickBot="1" x14ac:dyDescent="0.25">
      <c r="A34" s="1037" t="s">
        <v>2089</v>
      </c>
      <c r="B34" s="1615" t="s">
        <v>2167</v>
      </c>
      <c r="C34" s="1616"/>
      <c r="D34" s="1616"/>
      <c r="E34" s="1616"/>
      <c r="F34" s="1616"/>
      <c r="G34" s="1616"/>
      <c r="H34" s="222"/>
      <c r="I34" s="1389">
        <f>P_CRSABIS_13.MELD!AA23+P_CRSABIS_13.MELD!AA33+P_CRSABIS_13.MELD!AA34</f>
        <v>0</v>
      </c>
      <c r="J34" s="229" t="s">
        <v>241</v>
      </c>
      <c r="K34" s="334"/>
      <c r="L34" s="1020" t="str">
        <f t="shared" si="1"/>
        <v>OK</v>
      </c>
      <c r="N34" s="1344" t="s">
        <v>2093</v>
      </c>
      <c r="O34" s="1338"/>
    </row>
    <row r="35" spans="1:20" ht="37.5" customHeight="1" thickTop="1" x14ac:dyDescent="0.2">
      <c r="A35" s="1037" t="s">
        <v>1833</v>
      </c>
      <c r="B35" s="1631" t="s">
        <v>1489</v>
      </c>
      <c r="C35" s="1632"/>
      <c r="D35" s="1632"/>
      <c r="E35" s="1632"/>
      <c r="F35" s="1632"/>
      <c r="G35" s="1632"/>
      <c r="H35" s="222"/>
      <c r="I35" s="908"/>
      <c r="J35" s="229" t="s">
        <v>241</v>
      </c>
      <c r="K35" s="334"/>
      <c r="L35" s="1020" t="str">
        <f t="shared" si="1"/>
        <v>OK</v>
      </c>
      <c r="N35" s="1344" t="s">
        <v>1948</v>
      </c>
      <c r="O35" s="1338"/>
    </row>
    <row r="36" spans="1:20" ht="35.85" customHeight="1" x14ac:dyDescent="0.2">
      <c r="A36" s="1035" t="s">
        <v>1834</v>
      </c>
      <c r="B36" s="1608" t="s">
        <v>1488</v>
      </c>
      <c r="C36" s="1609"/>
      <c r="D36" s="1609"/>
      <c r="E36" s="1609"/>
      <c r="F36" s="1609"/>
      <c r="G36" s="1609"/>
      <c r="H36" s="216"/>
      <c r="I36" s="928">
        <v>0</v>
      </c>
      <c r="J36" s="31">
        <v>115</v>
      </c>
      <c r="K36" s="334"/>
      <c r="L36" s="1020" t="str">
        <f t="shared" si="0"/>
        <v>OK</v>
      </c>
      <c r="N36" s="1344" t="s">
        <v>1949</v>
      </c>
      <c r="O36" s="1338"/>
    </row>
    <row r="37" spans="1:20" ht="35.85" customHeight="1" x14ac:dyDescent="0.2">
      <c r="A37" s="1037" t="s">
        <v>1835</v>
      </c>
      <c r="B37" s="1623" t="s">
        <v>1492</v>
      </c>
      <c r="C37" s="1624"/>
      <c r="D37" s="1624"/>
      <c r="E37" s="1624"/>
      <c r="F37" s="1624"/>
      <c r="G37" s="1624"/>
      <c r="H37" s="222"/>
      <c r="I37" s="814"/>
      <c r="J37" s="31">
        <v>477</v>
      </c>
      <c r="K37" s="334"/>
      <c r="L37" s="1020" t="str">
        <f>IF(I37&gt;=0,"OK","ERROR")</f>
        <v>OK</v>
      </c>
      <c r="N37" s="1338"/>
      <c r="O37" s="1338"/>
    </row>
    <row r="38" spans="1:20" ht="35.85" customHeight="1" thickBot="1" x14ac:dyDescent="0.25">
      <c r="A38" s="328" t="s">
        <v>722</v>
      </c>
      <c r="B38" s="1612" t="s">
        <v>1836</v>
      </c>
      <c r="C38" s="1613"/>
      <c r="D38" s="1613"/>
      <c r="E38" s="1613"/>
      <c r="F38" s="1613"/>
      <c r="G38" s="1613"/>
      <c r="H38" s="216"/>
      <c r="I38" s="549">
        <f>I40+I47+I58</f>
        <v>2600000</v>
      </c>
      <c r="J38" s="31">
        <v>119</v>
      </c>
      <c r="K38" s="334"/>
      <c r="L38" s="1020" t="str">
        <f t="shared" ref="L38:L57" si="2">IF(I38&gt;=0,"OK","ERROR")</f>
        <v>OK</v>
      </c>
      <c r="N38" s="1338"/>
      <c r="O38" s="1338"/>
    </row>
    <row r="39" spans="1:20" ht="15.75" thickTop="1" thickBot="1" x14ac:dyDescent="0.25">
      <c r="A39" s="716" t="s">
        <v>241</v>
      </c>
      <c r="B39" s="931" t="s">
        <v>1704</v>
      </c>
      <c r="C39" s="932"/>
      <c r="D39" s="932"/>
      <c r="E39" s="932"/>
      <c r="F39" s="932"/>
      <c r="G39" s="932"/>
      <c r="H39" s="222"/>
      <c r="I39" s="1203"/>
      <c r="J39" s="229" t="s">
        <v>241</v>
      </c>
      <c r="K39" s="334"/>
      <c r="L39" s="1020" t="str">
        <f>IF(I39&gt;=0,"OK","ERROR")</f>
        <v>OK</v>
      </c>
      <c r="N39" s="1338"/>
      <c r="O39" s="1338"/>
    </row>
    <row r="40" spans="1:20" ht="37.5" customHeight="1" thickTop="1" thickBot="1" x14ac:dyDescent="0.25">
      <c r="A40" s="394" t="s">
        <v>724</v>
      </c>
      <c r="B40" s="1580" t="s">
        <v>1416</v>
      </c>
      <c r="C40" s="1581"/>
      <c r="D40" s="1581"/>
      <c r="E40" s="1581"/>
      <c r="F40" s="1581"/>
      <c r="G40" s="1581"/>
      <c r="H40" s="216"/>
      <c r="I40" s="549">
        <f>SUM(I41:I43,I45:I46)</f>
        <v>0</v>
      </c>
      <c r="J40" s="31">
        <v>122</v>
      </c>
      <c r="K40" s="334"/>
      <c r="L40" s="1020" t="str">
        <f t="shared" si="2"/>
        <v>OK</v>
      </c>
      <c r="N40" s="1338"/>
      <c r="O40" s="1338"/>
    </row>
    <row r="41" spans="1:20" ht="21.6" customHeight="1" thickTop="1" x14ac:dyDescent="0.2">
      <c r="A41" s="395" t="s">
        <v>728</v>
      </c>
      <c r="B41" s="1590" t="s">
        <v>1382</v>
      </c>
      <c r="C41" s="1590"/>
      <c r="D41" s="1590"/>
      <c r="E41" s="1590"/>
      <c r="F41" s="1590"/>
      <c r="G41" s="1590"/>
      <c r="H41" s="216"/>
      <c r="I41" s="33"/>
      <c r="J41" s="31">
        <v>124</v>
      </c>
      <c r="K41" s="334"/>
      <c r="L41" s="1020" t="str">
        <f t="shared" si="2"/>
        <v>OK</v>
      </c>
    </row>
    <row r="42" spans="1:20" ht="21.6" customHeight="1" x14ac:dyDescent="0.2">
      <c r="A42" s="930" t="s">
        <v>1687</v>
      </c>
      <c r="B42" s="1590" t="s">
        <v>1692</v>
      </c>
      <c r="C42" s="1590"/>
      <c r="D42" s="1590"/>
      <c r="E42" s="1590"/>
      <c r="F42" s="1590"/>
      <c r="G42" s="1590"/>
      <c r="H42" s="216"/>
      <c r="I42" s="33"/>
      <c r="J42" s="31">
        <v>126</v>
      </c>
      <c r="K42" s="334"/>
      <c r="L42" s="1020" t="str">
        <f t="shared" si="2"/>
        <v>OK</v>
      </c>
    </row>
    <row r="43" spans="1:20" ht="21.6" customHeight="1" x14ac:dyDescent="0.2">
      <c r="A43" s="930" t="s">
        <v>1688</v>
      </c>
      <c r="B43" s="1633" t="s">
        <v>1693</v>
      </c>
      <c r="C43" s="1633"/>
      <c r="D43" s="1633"/>
      <c r="E43" s="1633"/>
      <c r="F43" s="1633"/>
      <c r="G43" s="1633"/>
      <c r="H43" s="216"/>
      <c r="I43" s="33"/>
      <c r="J43" s="31">
        <v>127</v>
      </c>
      <c r="K43" s="334"/>
      <c r="L43" s="1020" t="str">
        <f t="shared" si="2"/>
        <v>OK</v>
      </c>
    </row>
    <row r="44" spans="1:20" ht="21.6" customHeight="1" thickBot="1" x14ac:dyDescent="0.25">
      <c r="A44" s="930" t="s">
        <v>1689</v>
      </c>
      <c r="B44" s="1590" t="s">
        <v>1383</v>
      </c>
      <c r="C44" s="1590"/>
      <c r="D44" s="1590"/>
      <c r="E44" s="1590"/>
      <c r="F44" s="1590"/>
      <c r="G44" s="1590"/>
      <c r="H44" s="216"/>
      <c r="I44" s="32">
        <f>SUM(I45:I46)</f>
        <v>0</v>
      </c>
      <c r="J44" s="933"/>
      <c r="K44" s="334"/>
      <c r="L44" s="1020" t="str">
        <f t="shared" si="2"/>
        <v>OK</v>
      </c>
    </row>
    <row r="45" spans="1:20" s="1338" customFormat="1" ht="21.6" customHeight="1" thickTop="1" x14ac:dyDescent="0.2">
      <c r="A45" s="930" t="s">
        <v>1690</v>
      </c>
      <c r="B45" s="1590" t="s">
        <v>1384</v>
      </c>
      <c r="C45" s="1590"/>
      <c r="D45" s="1590"/>
      <c r="E45" s="1590"/>
      <c r="F45" s="1590"/>
      <c r="G45" s="1590"/>
      <c r="H45" s="216"/>
      <c r="I45" s="33"/>
      <c r="J45" s="31">
        <v>129</v>
      </c>
      <c r="K45" s="334"/>
      <c r="L45" s="1020" t="str">
        <f t="shared" si="2"/>
        <v>OK</v>
      </c>
      <c r="N45" s="870"/>
      <c r="O45" s="332"/>
      <c r="P45" s="332"/>
      <c r="Q45" s="332"/>
      <c r="R45" s="332"/>
      <c r="S45" s="332"/>
      <c r="T45" s="332"/>
    </row>
    <row r="46" spans="1:20" s="1338" customFormat="1" ht="21.6" customHeight="1" x14ac:dyDescent="0.2">
      <c r="A46" s="930" t="s">
        <v>1691</v>
      </c>
      <c r="B46" s="1590" t="s">
        <v>1385</v>
      </c>
      <c r="C46" s="1590"/>
      <c r="D46" s="1590"/>
      <c r="E46" s="1590"/>
      <c r="F46" s="1590"/>
      <c r="G46" s="1590"/>
      <c r="H46" s="216"/>
      <c r="I46" s="33"/>
      <c r="J46" s="31">
        <v>130</v>
      </c>
      <c r="K46" s="334"/>
      <c r="L46" s="1020" t="str">
        <f t="shared" si="2"/>
        <v>OK</v>
      </c>
      <c r="N46" s="870"/>
      <c r="O46" s="332"/>
      <c r="P46" s="332"/>
      <c r="Q46" s="332"/>
      <c r="R46" s="332"/>
      <c r="S46" s="332"/>
      <c r="T46" s="332"/>
    </row>
    <row r="47" spans="1:20" s="1338" customFormat="1" ht="35.85" customHeight="1" thickBot="1" x14ac:dyDescent="0.25">
      <c r="A47" s="394" t="s">
        <v>742</v>
      </c>
      <c r="B47" s="1608" t="s">
        <v>1476</v>
      </c>
      <c r="C47" s="1609"/>
      <c r="D47" s="1609"/>
      <c r="E47" s="1609"/>
      <c r="F47" s="1609"/>
      <c r="G47" s="1609"/>
      <c r="H47" s="216"/>
      <c r="I47" s="549">
        <f>SUM(I48:I50,I52:I53,I55:I57)</f>
        <v>2600000</v>
      </c>
      <c r="J47" s="31">
        <v>131</v>
      </c>
      <c r="K47" s="334"/>
      <c r="L47" s="1020" t="str">
        <f t="shared" si="2"/>
        <v>OK</v>
      </c>
      <c r="N47" s="870"/>
      <c r="O47" s="332"/>
      <c r="P47" s="332"/>
      <c r="Q47" s="332"/>
      <c r="R47" s="332"/>
      <c r="S47" s="332"/>
      <c r="T47" s="332"/>
    </row>
    <row r="48" spans="1:20" s="1338" customFormat="1" ht="21.6" customHeight="1" thickTop="1" x14ac:dyDescent="0.2">
      <c r="A48" s="395" t="s">
        <v>746</v>
      </c>
      <c r="B48" s="1633" t="s">
        <v>1694</v>
      </c>
      <c r="C48" s="1590"/>
      <c r="D48" s="1590"/>
      <c r="E48" s="1590"/>
      <c r="F48" s="1590"/>
      <c r="G48" s="1590"/>
      <c r="H48" s="216"/>
      <c r="I48" s="219">
        <v>100000</v>
      </c>
      <c r="J48" s="31">
        <v>133</v>
      </c>
      <c r="K48" s="334"/>
      <c r="L48" s="1020" t="str">
        <f t="shared" si="2"/>
        <v>OK</v>
      </c>
      <c r="N48" s="870"/>
      <c r="O48" s="332"/>
      <c r="P48" s="332"/>
      <c r="Q48" s="332"/>
      <c r="R48" s="332"/>
      <c r="S48" s="332"/>
      <c r="T48" s="332"/>
    </row>
    <row r="49" spans="1:20" s="1338" customFormat="1" ht="21.6" customHeight="1" x14ac:dyDescent="0.2">
      <c r="A49" s="930" t="s">
        <v>1695</v>
      </c>
      <c r="B49" s="1590" t="s">
        <v>1692</v>
      </c>
      <c r="C49" s="1590"/>
      <c r="D49" s="1590"/>
      <c r="E49" s="1590"/>
      <c r="F49" s="1590"/>
      <c r="G49" s="1590"/>
      <c r="H49" s="216"/>
      <c r="I49" s="33">
        <v>300000</v>
      </c>
      <c r="J49" s="31">
        <v>135</v>
      </c>
      <c r="K49" s="334"/>
      <c r="L49" s="1020" t="str">
        <f t="shared" si="2"/>
        <v>OK</v>
      </c>
      <c r="N49" s="870"/>
      <c r="O49" s="332"/>
      <c r="P49" s="332"/>
      <c r="Q49" s="332"/>
      <c r="R49" s="332"/>
      <c r="S49" s="332"/>
      <c r="T49" s="332"/>
    </row>
    <row r="50" spans="1:20" s="1338" customFormat="1" ht="21.6" customHeight="1" x14ac:dyDescent="0.2">
      <c r="A50" s="930" t="s">
        <v>1696</v>
      </c>
      <c r="B50" s="1633" t="s">
        <v>1693</v>
      </c>
      <c r="C50" s="1633"/>
      <c r="D50" s="1633"/>
      <c r="E50" s="1633"/>
      <c r="F50" s="1633"/>
      <c r="G50" s="1633"/>
      <c r="H50" s="216"/>
      <c r="I50" s="33"/>
      <c r="J50" s="31">
        <v>136</v>
      </c>
      <c r="K50" s="334"/>
      <c r="L50" s="1020" t="str">
        <f t="shared" si="2"/>
        <v>OK</v>
      </c>
      <c r="N50" s="870"/>
      <c r="O50" s="332"/>
      <c r="P50" s="332"/>
      <c r="Q50" s="332"/>
      <c r="R50" s="332"/>
      <c r="S50" s="332"/>
      <c r="T50" s="332"/>
    </row>
    <row r="51" spans="1:20" s="1338" customFormat="1" ht="21.6" customHeight="1" thickBot="1" x14ac:dyDescent="0.25">
      <c r="A51" s="930" t="s">
        <v>1697</v>
      </c>
      <c r="B51" s="1590" t="s">
        <v>1383</v>
      </c>
      <c r="C51" s="1590"/>
      <c r="D51" s="1590"/>
      <c r="E51" s="1590"/>
      <c r="F51" s="1590"/>
      <c r="G51" s="1590"/>
      <c r="H51" s="216"/>
      <c r="I51" s="32">
        <f>SUM(I52:I53)</f>
        <v>2000000</v>
      </c>
      <c r="J51" s="933"/>
      <c r="K51" s="334"/>
      <c r="L51" s="1020" t="str">
        <f t="shared" si="2"/>
        <v>OK</v>
      </c>
      <c r="N51" s="870"/>
      <c r="O51" s="332"/>
      <c r="P51" s="332"/>
      <c r="Q51" s="332"/>
      <c r="R51" s="332"/>
      <c r="S51" s="332"/>
      <c r="T51" s="332"/>
    </row>
    <row r="52" spans="1:20" s="1338" customFormat="1" ht="21.6" customHeight="1" thickTop="1" x14ac:dyDescent="0.2">
      <c r="A52" s="930" t="s">
        <v>1698</v>
      </c>
      <c r="B52" s="1590" t="s">
        <v>1384</v>
      </c>
      <c r="C52" s="1590"/>
      <c r="D52" s="1590"/>
      <c r="E52" s="1590"/>
      <c r="F52" s="1590"/>
      <c r="G52" s="1590"/>
      <c r="H52" s="216"/>
      <c r="I52" s="33"/>
      <c r="J52" s="31">
        <v>138</v>
      </c>
      <c r="K52" s="334"/>
      <c r="L52" s="1020" t="str">
        <f t="shared" si="2"/>
        <v>OK</v>
      </c>
      <c r="N52" s="870"/>
      <c r="O52" s="332"/>
      <c r="P52" s="332"/>
      <c r="Q52" s="332"/>
      <c r="R52" s="332"/>
      <c r="S52" s="332"/>
      <c r="T52" s="332"/>
    </row>
    <row r="53" spans="1:20" s="1338" customFormat="1" ht="21.6" customHeight="1" x14ac:dyDescent="0.2">
      <c r="A53" s="930" t="s">
        <v>1699</v>
      </c>
      <c r="B53" s="1590" t="s">
        <v>1385</v>
      </c>
      <c r="C53" s="1590"/>
      <c r="D53" s="1590"/>
      <c r="E53" s="1590"/>
      <c r="F53" s="1590"/>
      <c r="G53" s="1590"/>
      <c r="H53" s="216"/>
      <c r="I53" s="33">
        <v>2000000</v>
      </c>
      <c r="J53" s="31">
        <v>139</v>
      </c>
      <c r="K53" s="334"/>
      <c r="L53" s="1020" t="str">
        <f t="shared" si="2"/>
        <v>OK</v>
      </c>
      <c r="N53" s="870"/>
      <c r="O53" s="332"/>
      <c r="P53" s="332"/>
      <c r="Q53" s="332"/>
      <c r="R53" s="332"/>
      <c r="S53" s="332"/>
      <c r="T53" s="332"/>
    </row>
    <row r="54" spans="1:20" s="1338" customFormat="1" ht="21.6" customHeight="1" thickBot="1" x14ac:dyDescent="0.25">
      <c r="A54" s="930" t="s">
        <v>1700</v>
      </c>
      <c r="B54" s="1581" t="s">
        <v>1386</v>
      </c>
      <c r="C54" s="1581"/>
      <c r="D54" s="1581"/>
      <c r="E54" s="1581"/>
      <c r="F54" s="1581"/>
      <c r="G54" s="1581"/>
      <c r="H54" s="216"/>
      <c r="I54" s="32">
        <f>SUM(I55:I57)</f>
        <v>200000</v>
      </c>
      <c r="J54" s="933"/>
      <c r="K54" s="334"/>
      <c r="L54" s="1020" t="str">
        <f t="shared" si="2"/>
        <v>OK</v>
      </c>
      <c r="N54" s="870"/>
      <c r="O54" s="332"/>
      <c r="P54" s="332"/>
      <c r="Q54" s="332"/>
      <c r="R54" s="332"/>
      <c r="S54" s="332"/>
      <c r="T54" s="332"/>
    </row>
    <row r="55" spans="1:20" s="1338" customFormat="1" ht="21.6" customHeight="1" thickTop="1" x14ac:dyDescent="0.2">
      <c r="A55" s="930" t="s">
        <v>1701</v>
      </c>
      <c r="B55" s="1499" t="s">
        <v>1387</v>
      </c>
      <c r="C55" s="1499"/>
      <c r="D55" s="1499"/>
      <c r="E55" s="1499"/>
      <c r="F55" s="1499"/>
      <c r="G55" s="1499"/>
      <c r="H55" s="216"/>
      <c r="I55" s="33"/>
      <c r="J55" s="31">
        <v>141</v>
      </c>
      <c r="K55" s="334"/>
      <c r="L55" s="1020" t="str">
        <f t="shared" si="2"/>
        <v>OK</v>
      </c>
      <c r="N55" s="870"/>
      <c r="O55" s="332"/>
      <c r="P55" s="332"/>
      <c r="Q55" s="332"/>
      <c r="R55" s="332"/>
      <c r="S55" s="332"/>
      <c r="T55" s="332"/>
    </row>
    <row r="56" spans="1:20" s="1338" customFormat="1" ht="21.6" customHeight="1" x14ac:dyDescent="0.2">
      <c r="A56" s="930" t="s">
        <v>1702</v>
      </c>
      <c r="B56" s="1499" t="s">
        <v>1388</v>
      </c>
      <c r="C56" s="1499"/>
      <c r="D56" s="1499"/>
      <c r="E56" s="1499"/>
      <c r="F56" s="1499"/>
      <c r="G56" s="1499"/>
      <c r="H56" s="216"/>
      <c r="I56" s="33"/>
      <c r="J56" s="31">
        <v>142</v>
      </c>
      <c r="K56" s="334"/>
      <c r="L56" s="1020" t="str">
        <f t="shared" si="2"/>
        <v>OK</v>
      </c>
      <c r="N56" s="870"/>
      <c r="O56" s="332"/>
      <c r="P56" s="332"/>
      <c r="Q56" s="332"/>
      <c r="R56" s="332"/>
      <c r="S56" s="332"/>
      <c r="T56" s="332"/>
    </row>
    <row r="57" spans="1:20" s="1338" customFormat="1" ht="21.6" customHeight="1" x14ac:dyDescent="0.2">
      <c r="A57" s="930" t="s">
        <v>1703</v>
      </c>
      <c r="B57" s="1499" t="s">
        <v>1389</v>
      </c>
      <c r="C57" s="1499"/>
      <c r="D57" s="1499"/>
      <c r="E57" s="1499"/>
      <c r="F57" s="1499"/>
      <c r="G57" s="1499"/>
      <c r="H57" s="216"/>
      <c r="I57" s="33">
        <v>200000</v>
      </c>
      <c r="J57" s="31">
        <v>143</v>
      </c>
      <c r="K57" s="334"/>
      <c r="L57" s="1020" t="str">
        <f t="shared" si="2"/>
        <v>OK</v>
      </c>
      <c r="N57" s="870"/>
      <c r="O57" s="332"/>
      <c r="P57" s="332"/>
      <c r="Q57" s="332"/>
      <c r="R57" s="332"/>
      <c r="S57" s="332"/>
      <c r="T57" s="332"/>
    </row>
    <row r="58" spans="1:20" ht="37.5" customHeight="1" x14ac:dyDescent="0.2">
      <c r="A58" s="548" t="s">
        <v>762</v>
      </c>
      <c r="B58" s="1634" t="s">
        <v>2082</v>
      </c>
      <c r="C58" s="1635"/>
      <c r="D58" s="1635"/>
      <c r="E58" s="1635"/>
      <c r="F58" s="1635"/>
      <c r="G58" s="1635"/>
      <c r="H58" s="222"/>
      <c r="I58" s="905"/>
      <c r="J58" s="229" t="s">
        <v>241</v>
      </c>
      <c r="K58" s="334"/>
      <c r="L58" s="1020" t="str">
        <f t="shared" ref="L58:L66" si="3">IF(I58&gt;=0,"OK","ERROR")</f>
        <v>OK</v>
      </c>
      <c r="N58" s="1344"/>
    </row>
    <row r="59" spans="1:20" s="1338" customFormat="1" ht="35.85" customHeight="1" thickBot="1" x14ac:dyDescent="0.25">
      <c r="A59" s="383" t="s">
        <v>766</v>
      </c>
      <c r="B59" s="1608" t="s">
        <v>1491</v>
      </c>
      <c r="C59" s="1609"/>
      <c r="D59" s="1609"/>
      <c r="E59" s="1609"/>
      <c r="F59" s="1609"/>
      <c r="G59" s="1609"/>
      <c r="H59" s="216"/>
      <c r="I59" s="32">
        <f>SUM(I60:I61)</f>
        <v>487500</v>
      </c>
      <c r="J59" s="933"/>
      <c r="K59" s="334"/>
      <c r="L59" s="1020" t="str">
        <f t="shared" si="3"/>
        <v>OK</v>
      </c>
      <c r="N59" s="870"/>
      <c r="O59" s="332"/>
      <c r="P59" s="332"/>
      <c r="Q59" s="332"/>
      <c r="R59" s="332"/>
      <c r="S59" s="332"/>
      <c r="T59" s="332"/>
    </row>
    <row r="60" spans="1:20" s="1338" customFormat="1" ht="35.85" customHeight="1" thickTop="1" thickBot="1" x14ac:dyDescent="0.25">
      <c r="A60" s="394" t="s">
        <v>768</v>
      </c>
      <c r="B60" s="1608" t="s">
        <v>1844</v>
      </c>
      <c r="C60" s="1609"/>
      <c r="D60" s="1609"/>
      <c r="E60" s="1609"/>
      <c r="F60" s="1609"/>
      <c r="G60" s="1609"/>
      <c r="H60" s="216"/>
      <c r="I60" s="1390">
        <f>P_SETT.MELD!J14</f>
        <v>362500</v>
      </c>
      <c r="J60" s="31">
        <v>461</v>
      </c>
      <c r="K60" s="334"/>
      <c r="L60" s="1020" t="str">
        <f t="shared" si="3"/>
        <v>OK</v>
      </c>
      <c r="N60" s="870"/>
      <c r="O60" s="332"/>
      <c r="P60" s="332"/>
      <c r="Q60" s="332"/>
      <c r="R60" s="332"/>
      <c r="S60" s="332"/>
      <c r="T60" s="332"/>
    </row>
    <row r="61" spans="1:20" s="1338" customFormat="1" ht="35.85" customHeight="1" thickTop="1" thickBot="1" x14ac:dyDescent="0.25">
      <c r="A61" s="394" t="s">
        <v>770</v>
      </c>
      <c r="B61" s="1589" t="s">
        <v>1843</v>
      </c>
      <c r="C61" s="1590"/>
      <c r="D61" s="1590"/>
      <c r="E61" s="1590"/>
      <c r="F61" s="1590"/>
      <c r="G61" s="1590"/>
      <c r="H61" s="216"/>
      <c r="I61" s="1389">
        <f>P_SETT.MELD!J20</f>
        <v>125000</v>
      </c>
      <c r="J61" s="31">
        <v>462</v>
      </c>
      <c r="K61" s="334"/>
      <c r="L61" s="1020" t="str">
        <f t="shared" si="3"/>
        <v>OK</v>
      </c>
      <c r="N61" s="870"/>
      <c r="O61" s="332"/>
      <c r="P61" s="332"/>
      <c r="Q61" s="332"/>
      <c r="R61" s="332"/>
      <c r="S61" s="332"/>
      <c r="T61" s="332"/>
    </row>
    <row r="62" spans="1:20" ht="35.85" customHeight="1" thickTop="1" thickBot="1" x14ac:dyDescent="0.25">
      <c r="A62" s="551" t="s">
        <v>1344</v>
      </c>
      <c r="B62" s="1620" t="s">
        <v>1848</v>
      </c>
      <c r="C62" s="1620"/>
      <c r="D62" s="1620"/>
      <c r="E62" s="1620"/>
      <c r="F62" s="1620"/>
      <c r="G62" s="1620"/>
      <c r="H62" s="222"/>
      <c r="I62" s="223">
        <f>SUM(I63:I66)</f>
        <v>0</v>
      </c>
      <c r="J62" s="158"/>
      <c r="K62" s="334"/>
      <c r="L62" s="1020" t="str">
        <f t="shared" si="3"/>
        <v>OK</v>
      </c>
      <c r="N62" s="1344"/>
    </row>
    <row r="63" spans="1:20" ht="21.6" customHeight="1" thickTop="1" thickBot="1" x14ac:dyDescent="0.25">
      <c r="A63" s="548" t="s">
        <v>774</v>
      </c>
      <c r="B63" s="1619" t="s">
        <v>1473</v>
      </c>
      <c r="C63" s="1619"/>
      <c r="D63" s="1619"/>
      <c r="E63" s="1619"/>
      <c r="F63" s="1619"/>
      <c r="G63" s="1619"/>
      <c r="H63" s="222"/>
      <c r="I63" s="223">
        <f>P_CRFUNDS.MELD!J11</f>
        <v>0</v>
      </c>
      <c r="J63" s="158">
        <v>586</v>
      </c>
      <c r="K63" s="334"/>
      <c r="L63" s="1020" t="str">
        <f t="shared" si="3"/>
        <v>OK</v>
      </c>
      <c r="N63" s="1345" t="s">
        <v>715</v>
      </c>
    </row>
    <row r="64" spans="1:20" ht="21.6" customHeight="1" thickTop="1" thickBot="1" x14ac:dyDescent="0.25">
      <c r="A64" s="548" t="s">
        <v>776</v>
      </c>
      <c r="B64" s="1619" t="s">
        <v>1474</v>
      </c>
      <c r="C64" s="1619"/>
      <c r="D64" s="1619"/>
      <c r="E64" s="1619"/>
      <c r="F64" s="1619"/>
      <c r="G64" s="1619"/>
      <c r="H64" s="222"/>
      <c r="I64" s="223">
        <f>P_CRFUNDS.MELD!J14</f>
        <v>0</v>
      </c>
      <c r="J64" s="158">
        <v>587</v>
      </c>
      <c r="K64" s="334"/>
      <c r="L64" s="1020" t="str">
        <f t="shared" si="3"/>
        <v>OK</v>
      </c>
      <c r="N64" s="1345" t="s">
        <v>717</v>
      </c>
    </row>
    <row r="65" spans="1:20" ht="21.6" customHeight="1" thickTop="1" thickBot="1" x14ac:dyDescent="0.25">
      <c r="A65" s="548" t="s">
        <v>1390</v>
      </c>
      <c r="B65" s="1619" t="s">
        <v>1475</v>
      </c>
      <c r="C65" s="1619"/>
      <c r="D65" s="1619"/>
      <c r="E65" s="1619"/>
      <c r="F65" s="1619"/>
      <c r="G65" s="1619"/>
      <c r="H65" s="222"/>
      <c r="I65" s="223">
        <f>P_CRFUNDS.MELD!J17</f>
        <v>0</v>
      </c>
      <c r="J65" s="158">
        <v>588</v>
      </c>
      <c r="K65" s="334"/>
      <c r="L65" s="1020" t="str">
        <f t="shared" si="3"/>
        <v>OK</v>
      </c>
      <c r="N65" s="1345" t="s">
        <v>719</v>
      </c>
    </row>
    <row r="66" spans="1:20" ht="21.6" customHeight="1" thickTop="1" thickBot="1" x14ac:dyDescent="0.25">
      <c r="A66" s="548" t="s">
        <v>1391</v>
      </c>
      <c r="B66" s="1619" t="s">
        <v>164</v>
      </c>
      <c r="C66" s="1619"/>
      <c r="D66" s="1619"/>
      <c r="E66" s="1619"/>
      <c r="F66" s="1619"/>
      <c r="G66" s="1619"/>
      <c r="H66" s="222"/>
      <c r="I66" s="223">
        <f>P_CRFUNDS.MELD!J20+P_CRFUNDS.MELD!J22</f>
        <v>0</v>
      </c>
      <c r="J66" s="158">
        <v>589</v>
      </c>
      <c r="K66" s="334"/>
      <c r="L66" s="1020" t="str">
        <f t="shared" si="3"/>
        <v>OK</v>
      </c>
      <c r="N66" s="1345" t="s">
        <v>721</v>
      </c>
    </row>
    <row r="67" spans="1:20" s="1338" customFormat="1" ht="35.85" customHeight="1" thickTop="1" thickBot="1" x14ac:dyDescent="0.25">
      <c r="A67" s="1031" t="s">
        <v>1809</v>
      </c>
      <c r="B67" s="1612" t="s">
        <v>1849</v>
      </c>
      <c r="C67" s="1613"/>
      <c r="D67" s="1613"/>
      <c r="E67" s="1613"/>
      <c r="F67" s="1613"/>
      <c r="G67" s="1613"/>
      <c r="H67" s="216"/>
      <c r="I67" s="32">
        <f>SUM(I68:I69)</f>
        <v>0</v>
      </c>
      <c r="J67" s="934"/>
      <c r="K67" s="334"/>
      <c r="L67" s="1020" t="str">
        <f t="shared" ref="L67:L79" si="4">IF(I67&gt;=0,"OK","ERROR")</f>
        <v>OK</v>
      </c>
      <c r="N67" s="870"/>
      <c r="O67" s="332"/>
      <c r="P67" s="332"/>
      <c r="Q67" s="332"/>
      <c r="R67" s="332"/>
      <c r="S67" s="332"/>
      <c r="T67" s="332"/>
    </row>
    <row r="68" spans="1:20" s="1338" customFormat="1" ht="21.6" customHeight="1" thickTop="1" thickBot="1" x14ac:dyDescent="0.25">
      <c r="A68" s="1032" t="s">
        <v>1807</v>
      </c>
      <c r="B68" s="1581" t="s">
        <v>775</v>
      </c>
      <c r="C68" s="1581"/>
      <c r="D68" s="1581"/>
      <c r="E68" s="1581"/>
      <c r="F68" s="1581"/>
      <c r="G68" s="1581"/>
      <c r="H68" s="216"/>
      <c r="I68" s="1390">
        <f>P_CRCCP.MELD!E10</f>
        <v>0</v>
      </c>
      <c r="J68" s="229" t="s">
        <v>241</v>
      </c>
      <c r="K68" s="334"/>
      <c r="L68" s="1020" t="str">
        <f t="shared" si="4"/>
        <v>OK</v>
      </c>
      <c r="N68" s="870"/>
      <c r="O68" s="332"/>
      <c r="P68" s="332"/>
      <c r="Q68" s="332"/>
      <c r="R68" s="332"/>
      <c r="S68" s="332"/>
      <c r="T68" s="332"/>
    </row>
    <row r="69" spans="1:20" s="1338" customFormat="1" ht="21.6" customHeight="1" thickTop="1" thickBot="1" x14ac:dyDescent="0.25">
      <c r="A69" s="1032" t="s">
        <v>1808</v>
      </c>
      <c r="B69" s="1581" t="s">
        <v>777</v>
      </c>
      <c r="C69" s="1581"/>
      <c r="D69" s="1581"/>
      <c r="E69" s="1581"/>
      <c r="F69" s="1581"/>
      <c r="G69" s="1581"/>
      <c r="H69" s="216"/>
      <c r="I69" s="1389">
        <f>P_CRCCP.MELD!E20</f>
        <v>0</v>
      </c>
      <c r="J69" s="712" t="s">
        <v>241</v>
      </c>
      <c r="K69" s="334"/>
      <c r="L69" s="1020" t="str">
        <f t="shared" si="4"/>
        <v>OK</v>
      </c>
      <c r="N69" s="870"/>
      <c r="O69" s="332"/>
      <c r="P69" s="332"/>
      <c r="Q69" s="332"/>
      <c r="R69" s="332"/>
      <c r="S69" s="332"/>
      <c r="T69" s="332"/>
    </row>
    <row r="70" spans="1:20" s="1338" customFormat="1" ht="35.85" customHeight="1" thickTop="1" thickBot="1" x14ac:dyDescent="0.25">
      <c r="A70" s="1031" t="s">
        <v>1810</v>
      </c>
      <c r="B70" s="1601" t="s">
        <v>1850</v>
      </c>
      <c r="C70" s="1602"/>
      <c r="D70" s="1602"/>
      <c r="E70" s="1602"/>
      <c r="F70" s="1602"/>
      <c r="G70" s="1602"/>
      <c r="H70" s="216"/>
      <c r="I70" s="32">
        <f>SUM(I71:I73)</f>
        <v>0</v>
      </c>
      <c r="J70" s="934"/>
      <c r="K70" s="334"/>
      <c r="L70" s="1020" t="str">
        <f t="shared" si="4"/>
        <v>OK</v>
      </c>
      <c r="N70" s="870"/>
      <c r="O70" s="332"/>
      <c r="P70" s="332"/>
      <c r="Q70" s="332"/>
      <c r="R70" s="332"/>
      <c r="S70" s="332"/>
      <c r="T70" s="332"/>
    </row>
    <row r="71" spans="1:20" s="1338" customFormat="1" ht="21.6" customHeight="1" thickTop="1" thickBot="1" x14ac:dyDescent="0.25">
      <c r="A71" s="1032" t="s">
        <v>1811</v>
      </c>
      <c r="B71" s="1581" t="s">
        <v>1650</v>
      </c>
      <c r="C71" s="1581"/>
      <c r="D71" s="1581"/>
      <c r="E71" s="1581"/>
      <c r="F71" s="1581"/>
      <c r="G71" s="1581"/>
      <c r="H71" s="216"/>
      <c r="I71" s="1390">
        <f>'P_CVA.MELD (neu)'!H12</f>
        <v>0</v>
      </c>
      <c r="J71" s="31">
        <v>468</v>
      </c>
      <c r="K71" s="334"/>
      <c r="L71" s="1020" t="str">
        <f t="shared" si="4"/>
        <v>OK</v>
      </c>
      <c r="N71" s="870"/>
      <c r="O71" s="332"/>
      <c r="P71" s="332"/>
      <c r="Q71" s="332"/>
      <c r="R71" s="332"/>
      <c r="S71" s="332"/>
      <c r="T71" s="332"/>
    </row>
    <row r="72" spans="1:20" s="1338" customFormat="1" ht="21.6" customHeight="1" thickTop="1" thickBot="1" x14ac:dyDescent="0.25">
      <c r="A72" s="1032" t="s">
        <v>1812</v>
      </c>
      <c r="B72" s="1590" t="s">
        <v>1310</v>
      </c>
      <c r="C72" s="1590"/>
      <c r="D72" s="1590"/>
      <c r="E72" s="1590"/>
      <c r="F72" s="1590"/>
      <c r="G72" s="1590"/>
      <c r="H72" s="216"/>
      <c r="I72" s="1390">
        <f>'P_CVA.MELD (neu)'!H21+'P_CVA.MELD (neu)'!H32</f>
        <v>0</v>
      </c>
      <c r="J72" s="391">
        <v>469</v>
      </c>
      <c r="K72" s="334"/>
      <c r="L72" s="1020" t="str">
        <f t="shared" si="4"/>
        <v>OK</v>
      </c>
      <c r="N72" s="870"/>
      <c r="O72" s="332"/>
      <c r="P72" s="332"/>
      <c r="Q72" s="332"/>
      <c r="R72" s="332"/>
      <c r="S72" s="332"/>
      <c r="T72" s="332"/>
    </row>
    <row r="73" spans="1:20" s="1338" customFormat="1" ht="21.6" customHeight="1" thickTop="1" thickBot="1" x14ac:dyDescent="0.25">
      <c r="A73" s="1032" t="s">
        <v>1813</v>
      </c>
      <c r="B73" s="1581" t="s">
        <v>1311</v>
      </c>
      <c r="C73" s="1581"/>
      <c r="D73" s="1581"/>
      <c r="E73" s="1581"/>
      <c r="F73" s="1581"/>
      <c r="G73" s="1581"/>
      <c r="H73" s="216"/>
      <c r="I73" s="1389">
        <f>'P_CVA.MELD (neu)'!H45</f>
        <v>0</v>
      </c>
      <c r="J73" s="31">
        <v>470</v>
      </c>
      <c r="K73" s="334"/>
      <c r="L73" s="1020" t="str">
        <f t="shared" si="4"/>
        <v>OK</v>
      </c>
      <c r="N73" s="870"/>
      <c r="O73" s="332"/>
      <c r="P73" s="332"/>
      <c r="Q73" s="332"/>
      <c r="R73" s="332"/>
      <c r="S73" s="332"/>
      <c r="T73" s="332"/>
    </row>
    <row r="74" spans="1:20" ht="21.6" customHeight="1" thickTop="1" thickBot="1" x14ac:dyDescent="0.25">
      <c r="A74" s="1033" t="s">
        <v>1814</v>
      </c>
      <c r="B74" s="1612" t="s">
        <v>1851</v>
      </c>
      <c r="C74" s="1613"/>
      <c r="D74" s="1613"/>
      <c r="E74" s="1613"/>
      <c r="F74" s="1613"/>
      <c r="G74" s="1613"/>
      <c r="H74" s="216"/>
      <c r="I74" s="32">
        <f>SUM(I75:I78)</f>
        <v>13500000</v>
      </c>
      <c r="J74" s="934"/>
      <c r="K74" s="334"/>
      <c r="L74" s="1020" t="str">
        <f t="shared" si="4"/>
        <v>OK</v>
      </c>
    </row>
    <row r="75" spans="1:20" ht="21.6" customHeight="1" thickTop="1" thickBot="1" x14ac:dyDescent="0.25">
      <c r="A75" s="1034" t="s">
        <v>1815</v>
      </c>
      <c r="B75" s="1640" t="s">
        <v>784</v>
      </c>
      <c r="C75" s="1640"/>
      <c r="D75" s="1640"/>
      <c r="E75" s="1640"/>
      <c r="F75" s="1640"/>
      <c r="G75" s="1640"/>
      <c r="H75" s="216"/>
      <c r="I75" s="1390">
        <f>12.5*(P_CRSEC.MELD!Q11+P_CRSEC.MELD!Q28)</f>
        <v>8150000</v>
      </c>
      <c r="J75" s="31">
        <v>602</v>
      </c>
      <c r="K75" s="334"/>
      <c r="L75" s="1020" t="str">
        <f t="shared" si="4"/>
        <v>OK</v>
      </c>
      <c r="N75" s="1345" t="s">
        <v>785</v>
      </c>
    </row>
    <row r="76" spans="1:20" ht="21.6" customHeight="1" thickTop="1" thickBot="1" x14ac:dyDescent="0.25">
      <c r="A76" s="1034" t="s">
        <v>1816</v>
      </c>
      <c r="B76" s="1640" t="s">
        <v>786</v>
      </c>
      <c r="C76" s="1640"/>
      <c r="D76" s="1640"/>
      <c r="E76" s="1640"/>
      <c r="F76" s="1640"/>
      <c r="G76" s="1640"/>
      <c r="H76" s="216"/>
      <c r="I76" s="1389">
        <f>12.5*(P_CRSEC.MELD!R11+P_CRSEC.MELD!R28)</f>
        <v>1362500</v>
      </c>
      <c r="J76" s="391">
        <v>603</v>
      </c>
      <c r="K76" s="334"/>
      <c r="L76" s="1020" t="str">
        <f t="shared" si="4"/>
        <v>OK</v>
      </c>
      <c r="N76" s="1345" t="s">
        <v>787</v>
      </c>
    </row>
    <row r="77" spans="1:20" ht="21.6" customHeight="1" thickTop="1" thickBot="1" x14ac:dyDescent="0.25">
      <c r="A77" s="1034" t="s">
        <v>1817</v>
      </c>
      <c r="B77" s="1640" t="s">
        <v>788</v>
      </c>
      <c r="C77" s="1640"/>
      <c r="D77" s="1640"/>
      <c r="E77" s="1640"/>
      <c r="F77" s="1640"/>
      <c r="G77" s="1640"/>
      <c r="H77" s="216"/>
      <c r="I77" s="1389">
        <f>12.5*(P_CRSEC.MELD!S11+P_CRSEC.MELD!S28)</f>
        <v>3987500</v>
      </c>
      <c r="J77" s="31">
        <v>604</v>
      </c>
      <c r="K77" s="334"/>
      <c r="L77" s="1020" t="str">
        <f t="shared" si="4"/>
        <v>OK</v>
      </c>
      <c r="N77" s="1345" t="s">
        <v>789</v>
      </c>
    </row>
    <row r="78" spans="1:20" ht="21.6" customHeight="1" thickTop="1" thickBot="1" x14ac:dyDescent="0.25">
      <c r="A78" s="1034" t="s">
        <v>1818</v>
      </c>
      <c r="B78" s="1640" t="s">
        <v>790</v>
      </c>
      <c r="C78" s="1640"/>
      <c r="D78" s="1640"/>
      <c r="E78" s="1640"/>
      <c r="F78" s="1640"/>
      <c r="G78" s="1640"/>
      <c r="H78" s="216"/>
      <c r="I78" s="1389">
        <f>12.5*(P_CRSEC.MELD!T11+P_CRSEC.MELD!T28)</f>
        <v>0</v>
      </c>
      <c r="J78" s="31">
        <v>605</v>
      </c>
      <c r="K78" s="334"/>
      <c r="L78" s="1020" t="str">
        <f t="shared" si="4"/>
        <v>OK</v>
      </c>
      <c r="N78" s="1345" t="s">
        <v>791</v>
      </c>
    </row>
    <row r="79" spans="1:20" ht="41.25" customHeight="1" thickTop="1" thickBot="1" x14ac:dyDescent="0.3">
      <c r="A79" s="1025" t="s">
        <v>1799</v>
      </c>
      <c r="B79" s="1606" t="s">
        <v>1415</v>
      </c>
      <c r="C79" s="1607"/>
      <c r="D79" s="1607"/>
      <c r="E79" s="1607"/>
      <c r="F79" s="1607"/>
      <c r="G79" s="1607"/>
      <c r="H79" s="216"/>
      <c r="I79" s="549">
        <f>I80+I81+I82</f>
        <v>276198155</v>
      </c>
      <c r="J79" s="31">
        <v>155</v>
      </c>
      <c r="K79" s="334"/>
      <c r="L79" s="1020" t="str">
        <f t="shared" si="4"/>
        <v>OK</v>
      </c>
    </row>
    <row r="80" spans="1:20" ht="21.6" customHeight="1" thickTop="1" thickBot="1" x14ac:dyDescent="0.25">
      <c r="A80" s="962" t="s">
        <v>214</v>
      </c>
      <c r="B80" s="1622" t="s">
        <v>1417</v>
      </c>
      <c r="C80" s="1622"/>
      <c r="D80" s="1622"/>
      <c r="E80" s="1622"/>
      <c r="F80" s="1622"/>
      <c r="G80" s="1622"/>
      <c r="H80" s="222"/>
      <c r="I80" s="223">
        <f>12.5*P_MKR_BIS_SSA.MELD!K11</f>
        <v>276187155</v>
      </c>
      <c r="J80" s="229" t="s">
        <v>241</v>
      </c>
      <c r="K80" s="334"/>
      <c r="L80" s="1020" t="str">
        <f>IF(I80&gt;=0,"OK","ERROR")</f>
        <v>OK</v>
      </c>
    </row>
    <row r="81" spans="1:14" ht="21.6" customHeight="1" thickTop="1" thickBot="1" x14ac:dyDescent="0.25">
      <c r="A81" s="962" t="s">
        <v>216</v>
      </c>
      <c r="B81" s="1622" t="s">
        <v>1418</v>
      </c>
      <c r="C81" s="1622"/>
      <c r="D81" s="1622"/>
      <c r="E81" s="1622"/>
      <c r="F81" s="1622"/>
      <c r="G81" s="1622"/>
      <c r="H81" s="222"/>
      <c r="I81" s="223">
        <f>12.5*P_MKR_BIS_SA.MELD!C11</f>
        <v>10312.5</v>
      </c>
      <c r="J81" s="229" t="s">
        <v>241</v>
      </c>
      <c r="K81" s="334"/>
      <c r="L81" s="1020" t="str">
        <f>IF(I81&gt;=0,"OK","ERROR")</f>
        <v>OK</v>
      </c>
    </row>
    <row r="82" spans="1:14" ht="21.6" customHeight="1" thickTop="1" thickBot="1" x14ac:dyDescent="0.25">
      <c r="A82" s="962" t="s">
        <v>218</v>
      </c>
      <c r="B82" s="1622" t="s">
        <v>1419</v>
      </c>
      <c r="C82" s="1622"/>
      <c r="D82" s="1622"/>
      <c r="E82" s="1622"/>
      <c r="F82" s="1622"/>
      <c r="G82" s="1622"/>
      <c r="H82" s="222"/>
      <c r="I82" s="223">
        <f>12.5*P_MKR_BIS_IMA.MELD!H11</f>
        <v>687.5</v>
      </c>
      <c r="J82" s="229" t="s">
        <v>241</v>
      </c>
      <c r="K82" s="334"/>
      <c r="L82" s="1020" t="str">
        <f>IF(I82&gt;=0,"OK","ERROR")</f>
        <v>OK</v>
      </c>
      <c r="N82" s="1344"/>
    </row>
    <row r="83" spans="1:14" ht="41.25" customHeight="1" thickTop="1" thickBot="1" x14ac:dyDescent="0.3">
      <c r="A83" s="1026" t="s">
        <v>1800</v>
      </c>
      <c r="B83" s="1606" t="s">
        <v>1472</v>
      </c>
      <c r="C83" s="1606"/>
      <c r="D83" s="1606"/>
      <c r="E83" s="1606"/>
      <c r="F83" s="1606"/>
      <c r="G83" s="1606"/>
      <c r="H83" s="216"/>
      <c r="I83" s="549">
        <f>'P_OPR.MELD (new)'!D33</f>
        <v>0</v>
      </c>
      <c r="J83" s="31">
        <v>171</v>
      </c>
      <c r="K83" s="334"/>
      <c r="L83" s="1020" t="str">
        <f>IF(I83&gt;0,"OK","ERROR")</f>
        <v>ERROR</v>
      </c>
    </row>
    <row r="84" spans="1:14" ht="21.6" customHeight="1" thickTop="1" thickBot="1" x14ac:dyDescent="0.25">
      <c r="A84" s="963" t="s">
        <v>225</v>
      </c>
      <c r="B84" s="1622" t="s">
        <v>1493</v>
      </c>
      <c r="C84" s="1622"/>
      <c r="D84" s="1622"/>
      <c r="E84" s="1622"/>
      <c r="F84" s="1622"/>
      <c r="G84" s="1622"/>
      <c r="H84" s="222"/>
      <c r="I84" s="871">
        <f>'P_OPR.MELD (new)'!D30</f>
        <v>0</v>
      </c>
      <c r="J84" s="229" t="s">
        <v>241</v>
      </c>
      <c r="K84" s="334"/>
      <c r="L84" s="1020" t="str">
        <f>IF(I84&gt;=0,"OK","ERROR")</f>
        <v>OK</v>
      </c>
    </row>
    <row r="85" spans="1:14" ht="21.6" customHeight="1" thickTop="1" thickBot="1" x14ac:dyDescent="0.25">
      <c r="A85" s="962" t="s">
        <v>227</v>
      </c>
      <c r="B85" s="1622" t="s">
        <v>1494</v>
      </c>
      <c r="C85" s="1622"/>
      <c r="D85" s="1622"/>
      <c r="E85" s="1622"/>
      <c r="F85" s="1622"/>
      <c r="G85" s="1622"/>
      <c r="H85" s="222"/>
      <c r="I85" s="223">
        <f>IF(OR('P_OPR.MELD (new)'!D31&gt;0,'P_OPR.MELD (new)'!D31&lt;&gt;1),'P_OPR.MELD (new)'!D31,"1")</f>
        <v>0</v>
      </c>
      <c r="J85" s="229" t="s">
        <v>241</v>
      </c>
      <c r="K85" s="334"/>
      <c r="L85" s="1020" t="str">
        <f>IF(I85&gt;=0,"OK","ERROR")</f>
        <v>OK</v>
      </c>
    </row>
    <row r="86" spans="1:14" ht="21.6" customHeight="1" thickTop="1" x14ac:dyDescent="0.25">
      <c r="A86" s="1027" t="s">
        <v>234</v>
      </c>
      <c r="B86" s="1617" t="s">
        <v>863</v>
      </c>
      <c r="C86" s="1618"/>
      <c r="D86" s="1618"/>
      <c r="E86" s="1618"/>
      <c r="F86" s="1618"/>
      <c r="G86" s="1618"/>
      <c r="H86" s="216"/>
      <c r="I86" s="1396"/>
      <c r="J86" s="31">
        <v>612</v>
      </c>
      <c r="K86" s="260"/>
      <c r="L86" s="1020" t="str">
        <f>IF(I86&gt;=0,"OK","ERROR")</f>
        <v>OK</v>
      </c>
      <c r="N86" s="1344"/>
    </row>
    <row r="87" spans="1:14" ht="41.25" customHeight="1" thickBot="1" x14ac:dyDescent="0.3">
      <c r="A87" s="1027" t="s">
        <v>240</v>
      </c>
      <c r="B87" s="1617" t="s">
        <v>1679</v>
      </c>
      <c r="C87" s="1618"/>
      <c r="D87" s="1618"/>
      <c r="E87" s="1618"/>
      <c r="F87" s="1618"/>
      <c r="G87" s="1618"/>
      <c r="H87" s="216"/>
      <c r="I87" s="549">
        <f>I88+I89+I90+I91</f>
        <v>0</v>
      </c>
      <c r="J87" s="31">
        <v>179</v>
      </c>
      <c r="K87" s="260"/>
      <c r="L87" s="1338"/>
    </row>
    <row r="88" spans="1:14" ht="21.6" customHeight="1" thickTop="1" x14ac:dyDescent="0.2">
      <c r="A88" s="1028" t="s">
        <v>1801</v>
      </c>
      <c r="B88" s="1589" t="s">
        <v>2045</v>
      </c>
      <c r="C88" s="1589"/>
      <c r="D88" s="1589"/>
      <c r="E88" s="1589"/>
      <c r="F88" s="1589"/>
      <c r="G88" s="1589"/>
      <c r="H88" s="291"/>
      <c r="I88" s="904"/>
      <c r="J88" s="1395" t="s">
        <v>241</v>
      </c>
      <c r="K88" s="334"/>
      <c r="L88" s="577" t="str">
        <f>IF(I88&gt;=0,"OK","ERROR")</f>
        <v>OK</v>
      </c>
    </row>
    <row r="89" spans="1:14" ht="21.6" customHeight="1" x14ac:dyDescent="0.2">
      <c r="A89" s="1029" t="s">
        <v>1802</v>
      </c>
      <c r="B89" s="1639" t="s">
        <v>1708</v>
      </c>
      <c r="C89" s="1634"/>
      <c r="D89" s="1634"/>
      <c r="E89" s="1634"/>
      <c r="F89" s="1634"/>
      <c r="G89" s="1634"/>
      <c r="H89" s="222"/>
      <c r="I89" s="504"/>
      <c r="J89" s="229" t="s">
        <v>241</v>
      </c>
      <c r="K89" s="334"/>
      <c r="L89" s="1020" t="str">
        <f>IF(I89&gt;=0,"OK","ERROR")</f>
        <v>OK</v>
      </c>
    </row>
    <row r="90" spans="1:14" ht="21.6" customHeight="1" x14ac:dyDescent="0.2">
      <c r="A90" s="1029" t="s">
        <v>1803</v>
      </c>
      <c r="B90" s="1639" t="s">
        <v>1678</v>
      </c>
      <c r="C90" s="1634"/>
      <c r="D90" s="1634"/>
      <c r="E90" s="1634"/>
      <c r="F90" s="1634"/>
      <c r="G90" s="1634"/>
      <c r="H90" s="222"/>
      <c r="I90" s="905"/>
      <c r="J90" s="229" t="s">
        <v>241</v>
      </c>
      <c r="K90" s="334"/>
      <c r="L90" s="1020" t="str">
        <f>IF(I90&gt;=0,"OK","ERROR")</f>
        <v>OK</v>
      </c>
      <c r="N90" s="1344"/>
    </row>
    <row r="91" spans="1:14" ht="21.6" customHeight="1" x14ac:dyDescent="0.2">
      <c r="A91" s="1029" t="s">
        <v>1804</v>
      </c>
      <c r="B91" s="1639" t="s">
        <v>1706</v>
      </c>
      <c r="C91" s="1634"/>
      <c r="D91" s="1634"/>
      <c r="E91" s="1634"/>
      <c r="F91" s="1634"/>
      <c r="G91" s="1634"/>
      <c r="H91" s="222"/>
      <c r="I91" s="905"/>
      <c r="J91" s="229" t="s">
        <v>241</v>
      </c>
      <c r="K91" s="334"/>
      <c r="L91" s="1020" t="str">
        <f>IF(I91&lt;=0,"OK","ERROR")</f>
        <v>OK</v>
      </c>
      <c r="N91" s="1344"/>
    </row>
    <row r="92" spans="1:14" ht="21.6" customHeight="1" x14ac:dyDescent="0.2">
      <c r="A92" s="1029" t="s">
        <v>1805</v>
      </c>
      <c r="B92" s="1639" t="s">
        <v>1680</v>
      </c>
      <c r="C92" s="1634"/>
      <c r="D92" s="1634"/>
      <c r="E92" s="1634"/>
      <c r="F92" s="1634"/>
      <c r="G92" s="1634"/>
      <c r="H92" s="222"/>
      <c r="I92" s="906" t="s">
        <v>1681</v>
      </c>
      <c r="J92" s="229" t="s">
        <v>241</v>
      </c>
      <c r="K92" s="260"/>
      <c r="L92" s="577"/>
      <c r="N92" s="1344"/>
    </row>
    <row r="93" spans="1:14" ht="41.25" customHeight="1" x14ac:dyDescent="0.25">
      <c r="A93" s="961" t="s">
        <v>1317</v>
      </c>
      <c r="B93" s="1637" t="s">
        <v>1233</v>
      </c>
      <c r="C93" s="1637"/>
      <c r="D93" s="1637"/>
      <c r="E93" s="1637"/>
      <c r="F93" s="1637"/>
      <c r="G93" s="1637"/>
      <c r="H93" s="291"/>
      <c r="I93" s="245"/>
      <c r="J93" s="31"/>
      <c r="K93" s="260"/>
      <c r="L93" s="577"/>
    </row>
    <row r="94" spans="1:14" ht="21.6" customHeight="1" thickBot="1" x14ac:dyDescent="0.25">
      <c r="A94" s="1030" t="s">
        <v>1676</v>
      </c>
      <c r="B94" s="1634" t="s">
        <v>1234</v>
      </c>
      <c r="C94" s="1634"/>
      <c r="D94" s="1634"/>
      <c r="E94" s="1634"/>
      <c r="F94" s="1634"/>
      <c r="G94" s="1634"/>
      <c r="H94" s="291"/>
      <c r="I94" s="223">
        <f>P_LERA_BIS.MELD!I27</f>
        <v>810000000</v>
      </c>
      <c r="J94" s="396"/>
      <c r="K94" s="260"/>
      <c r="L94" s="1020" t="str">
        <f>IF(I94&gt;=0,"OK","ERROR")</f>
        <v>OK</v>
      </c>
    </row>
    <row r="95" spans="1:14" ht="21.6" customHeight="1" thickTop="1" x14ac:dyDescent="0.2">
      <c r="A95" s="1029"/>
      <c r="B95" s="1638" t="s">
        <v>940</v>
      </c>
      <c r="C95" s="1638"/>
      <c r="D95" s="1638"/>
      <c r="E95" s="1638"/>
      <c r="F95" s="1638"/>
      <c r="G95" s="1638"/>
      <c r="H95" s="291"/>
      <c r="I95" s="245"/>
      <c r="J95" s="31"/>
      <c r="K95" s="260"/>
      <c r="L95" s="1338"/>
    </row>
    <row r="96" spans="1:14" ht="21.6" customHeight="1" thickBot="1" x14ac:dyDescent="0.25">
      <c r="A96" s="1029" t="s">
        <v>1806</v>
      </c>
      <c r="B96" s="1636" t="s">
        <v>1235</v>
      </c>
      <c r="C96" s="1636"/>
      <c r="D96" s="1636"/>
      <c r="E96" s="1636"/>
      <c r="F96" s="1636"/>
      <c r="G96" s="1636"/>
      <c r="H96" s="291"/>
      <c r="I96" s="223">
        <f>P_LERA_BIS.MELD!I52</f>
        <v>-26000000</v>
      </c>
      <c r="J96" s="396"/>
      <c r="K96" s="260"/>
      <c r="L96" s="1020" t="str">
        <f>IF(I94+I96&gt;=0,"OK","ERROR")</f>
        <v>OK</v>
      </c>
    </row>
    <row r="97" spans="1:20" s="1338" customFormat="1" ht="7.5" customHeight="1" thickTop="1" x14ac:dyDescent="0.2">
      <c r="A97" s="369"/>
      <c r="B97" s="1574"/>
      <c r="C97" s="1574"/>
      <c r="D97" s="1574"/>
      <c r="E97" s="1574"/>
      <c r="F97" s="1574"/>
      <c r="G97" s="1574"/>
      <c r="H97" s="12"/>
      <c r="I97" s="234"/>
      <c r="J97" s="28"/>
      <c r="K97" s="260"/>
      <c r="L97" s="1340"/>
      <c r="N97" s="870"/>
      <c r="O97" s="332"/>
      <c r="P97" s="332"/>
      <c r="Q97" s="332"/>
      <c r="R97" s="332"/>
      <c r="S97" s="332"/>
      <c r="T97" s="332"/>
    </row>
    <row r="98" spans="1:20" s="1338" customFormat="1" ht="18.75" customHeight="1" x14ac:dyDescent="0.2">
      <c r="A98" s="370"/>
      <c r="B98" s="26" t="str">
        <f>"Version: "&amp;D108</f>
        <v>Version: 3.03.E0</v>
      </c>
      <c r="C98" s="9"/>
      <c r="D98" s="9"/>
      <c r="E98" s="9"/>
      <c r="F98" s="9"/>
      <c r="G98" s="9"/>
      <c r="H98" s="9"/>
      <c r="I98" s="1"/>
      <c r="J98" s="235" t="s">
        <v>25</v>
      </c>
      <c r="K98" s="332"/>
      <c r="L98" s="1330"/>
      <c r="N98" s="870"/>
      <c r="O98" s="332"/>
      <c r="P98" s="332"/>
      <c r="Q98" s="332"/>
      <c r="R98" s="332"/>
      <c r="S98" s="332"/>
      <c r="T98" s="332"/>
    </row>
    <row r="99" spans="1:20" s="1338" customFormat="1" x14ac:dyDescent="0.2">
      <c r="A99" s="281"/>
      <c r="B99" s="1"/>
      <c r="C99" s="1"/>
      <c r="D99" s="1"/>
      <c r="E99" s="1"/>
      <c r="F99" s="1"/>
      <c r="G99" s="1"/>
      <c r="H99" s="1"/>
      <c r="I99" s="1"/>
      <c r="J99" s="1"/>
      <c r="K99" s="332"/>
      <c r="L99" s="1330"/>
      <c r="N99" s="870"/>
      <c r="O99" s="332"/>
      <c r="P99" s="332"/>
      <c r="Q99" s="332"/>
      <c r="R99" s="332"/>
      <c r="S99" s="332"/>
      <c r="T99" s="332"/>
    </row>
    <row r="100" spans="1:20" s="1338" customFormat="1" x14ac:dyDescent="0.2">
      <c r="A100" s="371" t="s">
        <v>1226</v>
      </c>
      <c r="B100" s="1" t="s">
        <v>1227</v>
      </c>
      <c r="C100" s="1"/>
      <c r="D100" s="1"/>
      <c r="E100" s="1"/>
      <c r="F100" s="1"/>
      <c r="G100" s="1"/>
      <c r="H100" s="1"/>
      <c r="I100" s="1"/>
      <c r="J100" s="1"/>
      <c r="K100" s="332"/>
      <c r="L100" s="1340"/>
      <c r="N100" s="870"/>
      <c r="O100" s="332"/>
      <c r="P100" s="332"/>
      <c r="Q100" s="332"/>
      <c r="R100" s="332"/>
      <c r="S100" s="332"/>
      <c r="T100" s="332"/>
    </row>
    <row r="101" spans="1:20" s="1338" customFormat="1" x14ac:dyDescent="0.2">
      <c r="A101" s="281"/>
      <c r="B101" s="1" t="s">
        <v>1228</v>
      </c>
      <c r="C101" s="1"/>
      <c r="D101" s="1"/>
      <c r="E101" s="1"/>
      <c r="F101" s="1"/>
      <c r="G101" s="1"/>
      <c r="H101" s="1"/>
      <c r="I101" s="1"/>
      <c r="J101" s="1"/>
      <c r="K101" s="332"/>
      <c r="L101" s="1330"/>
      <c r="N101" s="870"/>
      <c r="O101" s="332"/>
      <c r="P101" s="332"/>
      <c r="Q101" s="332"/>
      <c r="R101" s="332"/>
      <c r="S101" s="332"/>
      <c r="T101" s="332"/>
    </row>
    <row r="102" spans="1:20" s="1338" customFormat="1" x14ac:dyDescent="0.2">
      <c r="A102" s="281"/>
      <c r="B102" s="1" t="s">
        <v>1229</v>
      </c>
      <c r="C102" s="1"/>
      <c r="D102" s="1"/>
      <c r="E102" s="1"/>
      <c r="F102" s="1"/>
      <c r="G102" s="1"/>
      <c r="H102" s="1"/>
      <c r="I102" s="1"/>
      <c r="J102" s="1"/>
      <c r="K102" s="332"/>
      <c r="L102" s="1330"/>
      <c r="N102" s="870"/>
      <c r="O102" s="332"/>
      <c r="P102" s="332"/>
      <c r="Q102" s="332"/>
      <c r="R102" s="332"/>
      <c r="S102" s="332"/>
      <c r="T102" s="332"/>
    </row>
    <row r="103" spans="1:20" s="1338" customFormat="1" x14ac:dyDescent="0.2">
      <c r="A103" s="281"/>
      <c r="B103" s="1"/>
      <c r="C103" s="1"/>
      <c r="D103" s="1"/>
      <c r="E103" s="1"/>
      <c r="F103" s="1"/>
      <c r="G103" s="1"/>
      <c r="H103" s="1"/>
      <c r="I103" s="1"/>
      <c r="J103" s="1"/>
      <c r="K103" s="332"/>
      <c r="L103" s="1330"/>
      <c r="N103" s="870"/>
      <c r="O103" s="332"/>
      <c r="P103" s="332"/>
      <c r="Q103" s="332"/>
      <c r="R103" s="332"/>
      <c r="S103" s="332"/>
      <c r="T103" s="332"/>
    </row>
    <row r="105" spans="1:20" s="1338" customFormat="1" x14ac:dyDescent="0.2">
      <c r="A105" s="372"/>
      <c r="B105" s="237"/>
      <c r="C105" s="20" t="s">
        <v>24</v>
      </c>
      <c r="D105" s="19" t="str">
        <f>I2</f>
        <v>XXXXXX</v>
      </c>
      <c r="E105" s="1"/>
      <c r="F105" s="1"/>
      <c r="G105" s="1"/>
      <c r="H105" s="1"/>
      <c r="I105" s="1"/>
      <c r="J105" s="1"/>
      <c r="K105" s="332"/>
      <c r="L105" s="1330"/>
      <c r="N105" s="870"/>
      <c r="O105" s="332"/>
      <c r="P105" s="332"/>
      <c r="Q105" s="332"/>
      <c r="R105" s="332"/>
      <c r="S105" s="332"/>
      <c r="T105" s="332"/>
    </row>
    <row r="106" spans="1:20" s="1338" customFormat="1" x14ac:dyDescent="0.2">
      <c r="A106" s="373"/>
      <c r="B106" s="61"/>
      <c r="C106" s="9"/>
      <c r="D106" s="239" t="str">
        <f>I1</f>
        <v>P_CASABISIRB_RWALRD</v>
      </c>
      <c r="E106" s="1"/>
      <c r="F106" s="1"/>
      <c r="G106" s="1"/>
      <c r="H106" s="1"/>
      <c r="I106" s="1"/>
      <c r="J106" s="1"/>
      <c r="K106" s="332"/>
      <c r="L106" s="1330"/>
      <c r="N106" s="870"/>
      <c r="O106" s="332"/>
      <c r="P106" s="332"/>
      <c r="Q106" s="332"/>
      <c r="R106" s="332"/>
      <c r="S106" s="332"/>
      <c r="T106" s="332"/>
    </row>
    <row r="107" spans="1:20" s="1338" customFormat="1" x14ac:dyDescent="0.2">
      <c r="A107" s="373"/>
      <c r="B107" s="61"/>
      <c r="C107" s="9"/>
      <c r="D107" s="239" t="str">
        <f>I3</f>
        <v>DD.MM.YYYY</v>
      </c>
      <c r="E107" s="1"/>
      <c r="F107" s="1"/>
      <c r="G107" s="1"/>
      <c r="H107" s="1"/>
      <c r="I107" s="1"/>
      <c r="J107" s="1"/>
      <c r="K107" s="332"/>
      <c r="L107" s="1330"/>
      <c r="N107" s="870"/>
      <c r="O107" s="332"/>
      <c r="P107" s="332"/>
      <c r="Q107" s="332"/>
      <c r="R107" s="332"/>
      <c r="S107" s="332"/>
      <c r="T107" s="332"/>
    </row>
    <row r="108" spans="1:20" s="1338" customFormat="1" x14ac:dyDescent="0.2">
      <c r="A108" s="373"/>
      <c r="B108" s="61"/>
      <c r="C108" s="9"/>
      <c r="D108" s="16" t="s">
        <v>1230</v>
      </c>
      <c r="E108" s="1"/>
      <c r="F108" s="1"/>
      <c r="G108" s="1"/>
      <c r="H108" s="1"/>
      <c r="I108" s="1"/>
      <c r="J108" s="1"/>
      <c r="K108" s="332"/>
      <c r="L108" s="1330"/>
      <c r="N108" s="870"/>
      <c r="O108" s="332"/>
      <c r="P108" s="332"/>
      <c r="Q108" s="332"/>
      <c r="R108" s="332"/>
      <c r="S108" s="332"/>
      <c r="T108" s="332"/>
    </row>
    <row r="109" spans="1:20" s="1338" customFormat="1" x14ac:dyDescent="0.2">
      <c r="A109" s="373"/>
      <c r="B109" s="61"/>
      <c r="C109" s="9"/>
      <c r="D109" s="216" t="str">
        <f>I10</f>
        <v>col. 01</v>
      </c>
      <c r="E109" s="1"/>
      <c r="F109" s="1"/>
      <c r="G109" s="1"/>
      <c r="H109" s="1"/>
      <c r="I109" s="1"/>
      <c r="J109" s="1"/>
      <c r="K109" s="332"/>
      <c r="L109" s="1330"/>
      <c r="N109" s="870"/>
      <c r="O109" s="332"/>
      <c r="P109" s="332"/>
      <c r="Q109" s="332"/>
      <c r="R109" s="332"/>
      <c r="S109" s="332"/>
      <c r="T109" s="332"/>
    </row>
    <row r="110" spans="1:20" s="1338" customFormat="1" x14ac:dyDescent="0.2">
      <c r="A110" s="373"/>
      <c r="B110" s="61"/>
      <c r="C110" s="9"/>
      <c r="D110" s="374">
        <f>COUNTIF(K11:L88,"ERROR")</f>
        <v>1</v>
      </c>
      <c r="E110" s="1"/>
      <c r="F110" s="1"/>
      <c r="G110" s="1"/>
      <c r="H110" s="1"/>
      <c r="I110" s="1"/>
      <c r="J110" s="1"/>
      <c r="K110" s="332"/>
      <c r="L110" s="1330"/>
      <c r="N110" s="870"/>
      <c r="O110" s="332"/>
      <c r="P110" s="332"/>
      <c r="Q110" s="332"/>
      <c r="R110" s="332"/>
      <c r="S110" s="332"/>
      <c r="T110" s="332"/>
    </row>
    <row r="111" spans="1:20" s="1338" customFormat="1" x14ac:dyDescent="0.2">
      <c r="A111" s="375"/>
      <c r="B111" s="212"/>
      <c r="C111" s="376"/>
      <c r="D111" s="377">
        <f>COUNTIF(K11:L88,"Warning")</f>
        <v>0</v>
      </c>
      <c r="E111" s="1"/>
      <c r="F111" s="1"/>
      <c r="G111" s="1"/>
      <c r="H111" s="1"/>
      <c r="I111" s="1"/>
      <c r="J111" s="1"/>
      <c r="K111" s="332"/>
      <c r="L111" s="1330"/>
      <c r="N111" s="870"/>
      <c r="O111" s="332"/>
      <c r="P111" s="332"/>
      <c r="Q111" s="332"/>
      <c r="R111" s="332"/>
      <c r="S111" s="332"/>
      <c r="T111" s="332"/>
    </row>
    <row r="112" spans="1:20" s="1338" customFormat="1" x14ac:dyDescent="0.2">
      <c r="A112" s="281"/>
      <c r="B112" s="242"/>
      <c r="C112" s="8"/>
      <c r="D112" s="9"/>
      <c r="E112" s="1"/>
      <c r="F112" s="1"/>
      <c r="G112" s="1"/>
      <c r="H112" s="1"/>
      <c r="I112" s="1"/>
      <c r="J112" s="1"/>
      <c r="K112" s="332"/>
      <c r="L112" s="1330"/>
      <c r="N112" s="870"/>
      <c r="O112" s="332"/>
      <c r="P112" s="332"/>
      <c r="Q112" s="332"/>
      <c r="R112" s="332"/>
      <c r="S112" s="332"/>
      <c r="T112" s="332"/>
    </row>
  </sheetData>
  <mergeCells count="85">
    <mergeCell ref="B68:G68"/>
    <mergeCell ref="B83:G83"/>
    <mergeCell ref="B77:G77"/>
    <mergeCell ref="B78:G78"/>
    <mergeCell ref="B79:G79"/>
    <mergeCell ref="B82:G82"/>
    <mergeCell ref="B80:G80"/>
    <mergeCell ref="B81:G81"/>
    <mergeCell ref="B74:G74"/>
    <mergeCell ref="B75:G75"/>
    <mergeCell ref="B70:G70"/>
    <mergeCell ref="B71:G71"/>
    <mergeCell ref="B69:G69"/>
    <mergeCell ref="B58:G58"/>
    <mergeCell ref="B96:G96"/>
    <mergeCell ref="B97:G97"/>
    <mergeCell ref="B87:G87"/>
    <mergeCell ref="B88:G88"/>
    <mergeCell ref="B93:G93"/>
    <mergeCell ref="B94:G94"/>
    <mergeCell ref="B95:G95"/>
    <mergeCell ref="B90:G90"/>
    <mergeCell ref="B91:G91"/>
    <mergeCell ref="B92:G92"/>
    <mergeCell ref="B89:G89"/>
    <mergeCell ref="B85:G85"/>
    <mergeCell ref="B84:G84"/>
    <mergeCell ref="B76:G76"/>
    <mergeCell ref="B67:G67"/>
    <mergeCell ref="B28:G28"/>
    <mergeCell ref="B35:G35"/>
    <mergeCell ref="B47:G47"/>
    <mergeCell ref="B53:G53"/>
    <mergeCell ref="B59:G59"/>
    <mergeCell ref="B48:G48"/>
    <mergeCell ref="B40:G40"/>
    <mergeCell ref="B41:G41"/>
    <mergeCell ref="B42:G42"/>
    <mergeCell ref="B43:G43"/>
    <mergeCell ref="B56:G56"/>
    <mergeCell ref="B49:G49"/>
    <mergeCell ref="B50:G50"/>
    <mergeCell ref="B51:G51"/>
    <mergeCell ref="B52:G52"/>
    <mergeCell ref="B54:G54"/>
    <mergeCell ref="B12:G12"/>
    <mergeCell ref="B13:G13"/>
    <mergeCell ref="B15:G15"/>
    <mergeCell ref="B19:G19"/>
    <mergeCell ref="B17:G17"/>
    <mergeCell ref="B18:G18"/>
    <mergeCell ref="B14:G14"/>
    <mergeCell ref="B16:G16"/>
    <mergeCell ref="B20:G20"/>
    <mergeCell ref="B21:G21"/>
    <mergeCell ref="B44:G44"/>
    <mergeCell ref="B45:G45"/>
    <mergeCell ref="B46:G46"/>
    <mergeCell ref="B38:G38"/>
    <mergeCell ref="B22:G22"/>
    <mergeCell ref="B29:G29"/>
    <mergeCell ref="B23:G23"/>
    <mergeCell ref="B36:G36"/>
    <mergeCell ref="B24:G24"/>
    <mergeCell ref="B37:G37"/>
    <mergeCell ref="B25:G25"/>
    <mergeCell ref="B26:G26"/>
    <mergeCell ref="B27:G27"/>
    <mergeCell ref="B30:G30"/>
    <mergeCell ref="B31:G31"/>
    <mergeCell ref="B34:G34"/>
    <mergeCell ref="B33:G33"/>
    <mergeCell ref="B32:G32"/>
    <mergeCell ref="B86:G86"/>
    <mergeCell ref="B60:G60"/>
    <mergeCell ref="B55:G55"/>
    <mergeCell ref="B72:G72"/>
    <mergeCell ref="B73:G73"/>
    <mergeCell ref="B66:G66"/>
    <mergeCell ref="B64:G64"/>
    <mergeCell ref="B65:G65"/>
    <mergeCell ref="B57:G57"/>
    <mergeCell ref="B61:G61"/>
    <mergeCell ref="B62:G62"/>
    <mergeCell ref="B63:G63"/>
  </mergeCells>
  <dataValidations count="1">
    <dataValidation type="decimal" operator="notEqual" allowBlank="1" showInputMessage="1" showErrorMessage="1" errorTitle="Zahl" error="Hier ist nur ein Zahlenwert erlaubt" sqref="H87:H89 G67:H67 H13:H14 G98 G74:H74 H79 G70:H70 H93:H98 H83:H85 H24:H28" xr:uid="{00000000-0002-0000-0700-000000000000}">
      <formula1>9.99999999999999</formula1>
    </dataValidation>
  </dataValidations>
  <printOptions gridLines="1" gridLinesSet="0"/>
  <pageMargins left="0.59055118110236227" right="0.59055118110236227" top="0.78740157480314965" bottom="0.39370078740157483" header="0.31496062992125984" footer="0.31496062992125984"/>
  <pageSetup paperSize="9" scale="52" fitToHeight="3" pageOrder="overThenDown" orientation="portrait" r:id="rId1"/>
  <headerFooter alignWithMargins="0">
    <oddFooter>&amp;L&amp;"Arial,Fett"SNB Confidential&amp;C&amp;D&amp;RPage &amp;P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tabColor rgb="FF00B0F0"/>
  </sheetPr>
  <dimension ref="A1:T84"/>
  <sheetViews>
    <sheetView zoomScale="85" zoomScaleNormal="85" workbookViewId="0">
      <selection activeCell="B51" sqref="B51:G51"/>
    </sheetView>
  </sheetViews>
  <sheetFormatPr defaultColWidth="13.42578125" defaultRowHeight="12.75" x14ac:dyDescent="0.2"/>
  <cols>
    <col min="1" max="1" width="13" style="278" customWidth="1"/>
    <col min="2" max="2" width="32.5703125" style="1" customWidth="1"/>
    <col min="3" max="3" width="13.42578125" style="1" customWidth="1"/>
    <col min="4" max="4" width="15.5703125" style="1" customWidth="1"/>
    <col min="5" max="5" width="10.5703125" style="1" customWidth="1"/>
    <col min="6" max="6" width="15.5703125" style="1" customWidth="1"/>
    <col min="7" max="7" width="35" style="1" customWidth="1"/>
    <col min="8" max="8" width="1.5703125" style="1" customWidth="1"/>
    <col min="9" max="9" width="25.42578125" style="1" customWidth="1"/>
    <col min="10" max="10" width="5.42578125" style="1" bestFit="1" customWidth="1"/>
    <col min="11" max="11" width="13" style="1" customWidth="1"/>
    <col min="12" max="12" width="13.42578125" style="280"/>
    <col min="13" max="13" width="4.5703125" customWidth="1"/>
    <col min="14" max="14" width="13.42578125" style="1"/>
    <col min="15" max="21" width="10" style="1" customWidth="1"/>
    <col min="22" max="16384" width="13.42578125" style="1"/>
  </cols>
  <sheetData>
    <row r="1" spans="1:20" ht="25.35" customHeight="1" x14ac:dyDescent="0.2">
      <c r="H1" s="101" t="s">
        <v>100</v>
      </c>
      <c r="I1" s="378" t="s">
        <v>1236</v>
      </c>
    </row>
    <row r="2" spans="1:20" ht="25.35" customHeight="1" x14ac:dyDescent="0.2">
      <c r="A2" s="281"/>
      <c r="B2" s="9"/>
      <c r="H2" s="101" t="s">
        <v>98</v>
      </c>
      <c r="I2" s="203" t="s">
        <v>119</v>
      </c>
    </row>
    <row r="3" spans="1:20" ht="25.35" customHeight="1" x14ac:dyDescent="0.2">
      <c r="H3" s="101" t="s">
        <v>96</v>
      </c>
      <c r="I3" s="201" t="s">
        <v>121</v>
      </c>
    </row>
    <row r="4" spans="1:20" ht="18" x14ac:dyDescent="0.25">
      <c r="A4" s="281"/>
      <c r="B4" s="106" t="s">
        <v>2250</v>
      </c>
      <c r="C4" s="200"/>
      <c r="D4" s="204" t="s">
        <v>1237</v>
      </c>
    </row>
    <row r="5" spans="1:20" ht="18" x14ac:dyDescent="0.25">
      <c r="A5" s="284"/>
      <c r="B5" s="284"/>
      <c r="C5" s="198"/>
      <c r="D5" s="104" t="s">
        <v>99</v>
      </c>
    </row>
    <row r="6" spans="1:20" ht="20.100000000000001" customHeight="1" x14ac:dyDescent="0.2">
      <c r="A6" s="284"/>
      <c r="B6" s="284"/>
      <c r="D6" s="1" t="s">
        <v>351</v>
      </c>
      <c r="G6" s="207"/>
      <c r="H6" s="207"/>
      <c r="I6" s="207"/>
    </row>
    <row r="7" spans="1:20" x14ac:dyDescent="0.2">
      <c r="A7" s="284"/>
      <c r="B7" s="284"/>
      <c r="G7" s="207"/>
      <c r="H7" s="207"/>
    </row>
    <row r="8" spans="1:20" ht="16.350000000000001" customHeight="1" x14ac:dyDescent="0.2">
      <c r="A8" s="284"/>
      <c r="B8" s="284"/>
      <c r="C8" s="196"/>
      <c r="J8" s="12"/>
      <c r="K8" s="9"/>
      <c r="L8" s="285"/>
    </row>
    <row r="9" spans="1:20" ht="22.5" customHeight="1" x14ac:dyDescent="0.2">
      <c r="A9" s="286"/>
      <c r="B9" s="215"/>
      <c r="C9" s="194"/>
      <c r="D9" s="215"/>
      <c r="E9" s="215"/>
      <c r="F9" s="215"/>
      <c r="G9" s="215"/>
      <c r="H9" s="209"/>
      <c r="I9" s="287" t="s">
        <v>353</v>
      </c>
      <c r="J9" s="88"/>
      <c r="K9" s="15"/>
      <c r="L9" s="266" t="s">
        <v>354</v>
      </c>
    </row>
    <row r="10" spans="1:20" ht="29.1" customHeight="1" x14ac:dyDescent="0.2">
      <c r="A10" s="288"/>
      <c r="B10" s="12"/>
      <c r="C10" s="12"/>
      <c r="D10" s="12"/>
      <c r="E10" s="12"/>
      <c r="F10" s="12"/>
      <c r="G10" s="212"/>
      <c r="H10" s="213"/>
      <c r="I10" s="59" t="s">
        <v>22</v>
      </c>
      <c r="J10" s="58"/>
      <c r="K10" s="289"/>
      <c r="L10" s="285"/>
      <c r="Q10" s="1282"/>
    </row>
    <row r="11" spans="1:20" ht="7.5" customHeight="1" x14ac:dyDescent="0.2">
      <c r="A11" s="281"/>
      <c r="G11" s="215"/>
      <c r="H11" s="216"/>
      <c r="I11" s="217"/>
      <c r="J11" s="31"/>
      <c r="K11" s="15"/>
      <c r="L11" s="285"/>
    </row>
    <row r="12" spans="1:20" ht="41.25" customHeight="1" x14ac:dyDescent="0.25">
      <c r="A12" s="397">
        <v>3</v>
      </c>
      <c r="B12" s="1641" t="s">
        <v>2073</v>
      </c>
      <c r="C12" s="1642"/>
      <c r="D12" s="1642"/>
      <c r="E12" s="1642"/>
      <c r="F12" s="1642"/>
      <c r="G12" s="1642"/>
      <c r="H12" s="216"/>
      <c r="I12" s="389"/>
      <c r="J12" s="31"/>
      <c r="K12" s="15"/>
      <c r="N12"/>
      <c r="O12" s="1546"/>
      <c r="P12" s="1546"/>
      <c r="Q12"/>
      <c r="R12"/>
      <c r="S12"/>
      <c r="T12"/>
    </row>
    <row r="13" spans="1:20" ht="41.25" customHeight="1" x14ac:dyDescent="0.25">
      <c r="A13" s="398" t="s">
        <v>1745</v>
      </c>
      <c r="B13" s="1643" t="s">
        <v>2074</v>
      </c>
      <c r="C13" s="1644"/>
      <c r="D13" s="1644"/>
      <c r="E13" s="1644"/>
      <c r="F13" s="1644"/>
      <c r="G13" s="1644"/>
      <c r="H13" s="216"/>
      <c r="I13" s="389"/>
      <c r="J13" s="31"/>
      <c r="K13" s="15"/>
      <c r="N13"/>
      <c r="O13"/>
      <c r="P13"/>
      <c r="Q13"/>
      <c r="R13"/>
      <c r="S13"/>
      <c r="T13"/>
    </row>
    <row r="14" spans="1:20" ht="21.6" customHeight="1" thickBot="1" x14ac:dyDescent="0.25">
      <c r="A14" s="382" t="s">
        <v>871</v>
      </c>
      <c r="B14" s="1586" t="s">
        <v>872</v>
      </c>
      <c r="C14" s="1586"/>
      <c r="D14" s="1586"/>
      <c r="E14" s="1586"/>
      <c r="F14" s="1586"/>
      <c r="G14" s="1586"/>
      <c r="H14" s="216"/>
      <c r="I14" s="32">
        <f>P_CASABISIRB_RWALRD.MELD!I12/(8/100)*0.045</f>
        <v>174338805.9375</v>
      </c>
      <c r="J14" s="31">
        <v>478</v>
      </c>
      <c r="K14" s="15"/>
      <c r="L14"/>
    </row>
    <row r="15" spans="1:20" ht="21.6" customHeight="1" thickTop="1" thickBot="1" x14ac:dyDescent="0.25">
      <c r="A15" s="382" t="s">
        <v>873</v>
      </c>
      <c r="B15" s="1581" t="s">
        <v>874</v>
      </c>
      <c r="C15" s="1581"/>
      <c r="D15" s="1581"/>
      <c r="E15" s="1581"/>
      <c r="F15" s="1581"/>
      <c r="G15" s="1581"/>
      <c r="H15" s="216"/>
      <c r="I15" s="32">
        <f>P_CASABISIRB_RWALRD.MELD!I12/(8/100)*0.06</f>
        <v>232451741.25</v>
      </c>
      <c r="J15" s="31">
        <v>479</v>
      </c>
      <c r="K15" s="15"/>
      <c r="L15"/>
    </row>
    <row r="16" spans="1:20" ht="21.6" customHeight="1" thickTop="1" thickBot="1" x14ac:dyDescent="0.25">
      <c r="A16" s="382" t="s">
        <v>875</v>
      </c>
      <c r="B16" s="1581" t="s">
        <v>876</v>
      </c>
      <c r="C16" s="1581"/>
      <c r="D16" s="1581"/>
      <c r="E16" s="1581"/>
      <c r="F16" s="1581"/>
      <c r="G16" s="1581"/>
      <c r="H16" s="216"/>
      <c r="I16" s="32">
        <f>P_CASABISIRB_RWALRD.MELD!I12</f>
        <v>309935655</v>
      </c>
      <c r="J16" s="1395"/>
      <c r="K16" s="15"/>
      <c r="L16"/>
    </row>
    <row r="17" spans="1:20" ht="41.25" customHeight="1" thickTop="1" x14ac:dyDescent="0.25">
      <c r="A17" s="324" t="s">
        <v>877</v>
      </c>
      <c r="B17" s="1645" t="s">
        <v>878</v>
      </c>
      <c r="C17" s="1645"/>
      <c r="D17" s="1645"/>
      <c r="E17" s="1645"/>
      <c r="F17" s="1645"/>
      <c r="G17" s="1645"/>
      <c r="H17" s="216"/>
      <c r="I17" s="389"/>
      <c r="J17" s="31"/>
      <c r="K17" s="15"/>
    </row>
    <row r="18" spans="1:20" ht="35.85" customHeight="1" thickBot="1" x14ac:dyDescent="0.25">
      <c r="A18" s="298" t="s">
        <v>880</v>
      </c>
      <c r="B18" s="1503" t="s">
        <v>881</v>
      </c>
      <c r="C18" s="1503"/>
      <c r="D18" s="1503"/>
      <c r="E18" s="1503"/>
      <c r="F18" s="1503"/>
      <c r="G18" s="1503"/>
      <c r="H18" s="291"/>
      <c r="I18" s="292">
        <f>P_CASABISIRB_RWALRD.MELD!I12/(8/100)*(0.045+I21+I22)</f>
        <v>174338805.9375</v>
      </c>
      <c r="J18" s="31">
        <v>481</v>
      </c>
      <c r="K18" s="15"/>
      <c r="L18"/>
      <c r="N18" s="340"/>
      <c r="O18" s="341"/>
      <c r="P18" s="342"/>
      <c r="Q18" s="343"/>
      <c r="R18" s="342"/>
      <c r="S18" s="342"/>
    </row>
    <row r="19" spans="1:20" ht="21.6" customHeight="1" thickTop="1" x14ac:dyDescent="0.2">
      <c r="A19" s="297"/>
      <c r="B19" s="1604" t="s">
        <v>556</v>
      </c>
      <c r="C19" s="1604"/>
      <c r="D19" s="1604"/>
      <c r="E19" s="1604"/>
      <c r="F19" s="1604"/>
      <c r="G19" s="1604"/>
      <c r="H19" s="216"/>
      <c r="I19" s="174"/>
      <c r="J19" s="31"/>
      <c r="K19" s="15"/>
      <c r="N19" s="340"/>
      <c r="O19" s="342"/>
      <c r="P19" s="342"/>
      <c r="Q19" s="342"/>
      <c r="R19" s="342"/>
      <c r="S19" s="342"/>
    </row>
    <row r="20" spans="1:20" ht="21.6" customHeight="1" thickBot="1" x14ac:dyDescent="0.25">
      <c r="A20" s="297" t="s">
        <v>882</v>
      </c>
      <c r="B20" s="1551" t="s">
        <v>883</v>
      </c>
      <c r="C20" s="1551"/>
      <c r="D20" s="1551"/>
      <c r="E20" s="1551"/>
      <c r="F20" s="1551"/>
      <c r="G20" s="1551"/>
      <c r="H20" s="291"/>
      <c r="I20" s="292">
        <f>P_CASABISIRB_RWALRD.MELD!I12/(8/100)*(I21+I22)</f>
        <v>0</v>
      </c>
      <c r="J20" s="31">
        <v>482</v>
      </c>
      <c r="K20" s="15"/>
      <c r="L20" s="294" t="str">
        <f>IF(I20&lt;=I18,"OK","ERROR")</f>
        <v>OK</v>
      </c>
      <c r="N20" s="340"/>
      <c r="O20" s="342"/>
      <c r="P20" s="342"/>
      <c r="Q20" s="343"/>
      <c r="R20" s="342"/>
      <c r="S20" s="341"/>
    </row>
    <row r="21" spans="1:20" ht="21.6" customHeight="1" thickTop="1" thickBot="1" x14ac:dyDescent="0.25">
      <c r="A21" s="304" t="s">
        <v>884</v>
      </c>
      <c r="B21" s="1499" t="s">
        <v>885</v>
      </c>
      <c r="C21" s="1499"/>
      <c r="D21" s="1499"/>
      <c r="E21" s="1499"/>
      <c r="F21" s="1499"/>
      <c r="G21" s="1499"/>
      <c r="H21" s="216"/>
      <c r="I21" s="400">
        <f>IF(OR(P_CRSABIS_OPT.MELD!$D$11=1,P_CRSABIS_OPT.MELD!$D$11=2),3.7%,IF(P_CRSABIS_OPT.MELD!$D$11=3,3.3%,IF(P_CRSABIS_OPT.MELD!$D$11=4,2.9%,IF(P_CRSABIS_OPT.MELD!$D$11=5,2.5%,0))))</f>
        <v>0</v>
      </c>
      <c r="J21" s="31">
        <v>484</v>
      </c>
      <c r="K21" s="15"/>
      <c r="L21" s="294" t="str">
        <f>IF(I21&gt;0,"OK","ERROR")</f>
        <v>ERROR</v>
      </c>
    </row>
    <row r="22" spans="1:20" ht="21.6" customHeight="1" thickTop="1" x14ac:dyDescent="0.2">
      <c r="A22" s="304" t="s">
        <v>886</v>
      </c>
      <c r="B22" s="1550" t="s">
        <v>887</v>
      </c>
      <c r="C22" s="1550"/>
      <c r="D22" s="1550"/>
      <c r="E22" s="1550"/>
      <c r="F22" s="1550"/>
      <c r="G22" s="1550"/>
      <c r="H22" s="216"/>
      <c r="I22" s="401"/>
      <c r="J22" s="31">
        <v>591</v>
      </c>
      <c r="K22" s="15"/>
    </row>
    <row r="23" spans="1:20" ht="35.85" customHeight="1" x14ac:dyDescent="0.2">
      <c r="A23" s="298" t="s">
        <v>888</v>
      </c>
      <c r="B23" s="1498" t="s">
        <v>889</v>
      </c>
      <c r="C23" s="1499"/>
      <c r="D23" s="1499"/>
      <c r="E23" s="1499"/>
      <c r="F23" s="1499"/>
      <c r="G23" s="1499"/>
      <c r="H23" s="216"/>
      <c r="I23" s="346">
        <v>200000</v>
      </c>
      <c r="J23" s="31">
        <v>485</v>
      </c>
      <c r="K23" s="15"/>
      <c r="L23"/>
    </row>
    <row r="24" spans="1:20" ht="21.6" customHeight="1" x14ac:dyDescent="0.2">
      <c r="A24" s="297" t="s">
        <v>890</v>
      </c>
      <c r="B24" s="1499" t="s">
        <v>891</v>
      </c>
      <c r="C24" s="1499"/>
      <c r="D24" s="1499"/>
      <c r="E24" s="1499"/>
      <c r="F24" s="1499"/>
      <c r="G24" s="1499"/>
      <c r="H24" s="216"/>
      <c r="I24" s="346">
        <v>10000000</v>
      </c>
      <c r="J24" s="31">
        <v>486</v>
      </c>
      <c r="K24" s="15"/>
      <c r="L24"/>
    </row>
    <row r="25" spans="1:20" ht="50.25" customHeight="1" thickBot="1" x14ac:dyDescent="0.25">
      <c r="A25" s="333" t="s">
        <v>892</v>
      </c>
      <c r="B25" s="1498" t="s">
        <v>1411</v>
      </c>
      <c r="C25" s="1498"/>
      <c r="D25" s="1498"/>
      <c r="E25" s="1498"/>
      <c r="F25" s="1498"/>
      <c r="G25" s="1498"/>
      <c r="H25" s="216"/>
      <c r="I25" s="400">
        <f>IF(OR(P_CASABISIRB_RWALRD.MELD!I12=0,I24=0),0,(I24/(P_CASABISIRB_RWALRD.MELD!I12/0.08))*(I23/I24))</f>
        <v>5.162361845719235E-5</v>
      </c>
      <c r="J25" s="31">
        <v>487</v>
      </c>
      <c r="K25" s="15"/>
      <c r="L25" s="294" t="str">
        <f>IF(I25&gt;=0,"OK","ERROR")</f>
        <v>OK</v>
      </c>
    </row>
    <row r="26" spans="1:20" ht="21.6" customHeight="1" thickTop="1" x14ac:dyDescent="0.2">
      <c r="A26" s="297" t="s">
        <v>894</v>
      </c>
      <c r="B26" s="1499" t="s">
        <v>1412</v>
      </c>
      <c r="C26" s="1499"/>
      <c r="D26" s="1499"/>
      <c r="E26" s="1499"/>
      <c r="F26" s="1499"/>
      <c r="G26" s="1499"/>
      <c r="H26" s="216"/>
      <c r="I26" s="33">
        <v>200000</v>
      </c>
      <c r="J26" s="31">
        <v>488</v>
      </c>
      <c r="K26" s="15"/>
      <c r="L26" s="294" t="str">
        <f>IF(I26&gt;=0,"OK","ERROR")</f>
        <v>OK</v>
      </c>
    </row>
    <row r="27" spans="1:20" ht="21.6" customHeight="1" x14ac:dyDescent="0.2">
      <c r="A27" s="297" t="s">
        <v>896</v>
      </c>
      <c r="B27" s="1550" t="s">
        <v>897</v>
      </c>
      <c r="C27" s="1550"/>
      <c r="D27" s="1550"/>
      <c r="E27" s="1550"/>
      <c r="F27" s="1550"/>
      <c r="G27" s="1550"/>
      <c r="H27" s="216"/>
      <c r="I27" s="33">
        <v>10000000</v>
      </c>
      <c r="J27" s="31">
        <v>592</v>
      </c>
      <c r="K27" s="15"/>
      <c r="L27" s="294" t="str">
        <f>IF(I27&gt;=0,"OK","ERROR")</f>
        <v>OK</v>
      </c>
      <c r="N27" s="117"/>
    </row>
    <row r="28" spans="1:20" ht="21.6" customHeight="1" thickBot="1" x14ac:dyDescent="0.25">
      <c r="A28" s="297" t="s">
        <v>898</v>
      </c>
      <c r="B28" s="1550" t="s">
        <v>899</v>
      </c>
      <c r="C28" s="1550"/>
      <c r="D28" s="1550"/>
      <c r="E28" s="1550"/>
      <c r="F28" s="1550"/>
      <c r="G28" s="1550"/>
      <c r="H28" s="216"/>
      <c r="I28" s="400">
        <f>IF(OR(P_CASABISIRB_RWALRD.MELD!I12=0,I27=0),0,(I27/(P_CASABISIRB_RWALRD.MELD!I12/0.08))*(I26/I27))</f>
        <v>5.162361845719235E-5</v>
      </c>
      <c r="J28" s="31">
        <v>593</v>
      </c>
      <c r="K28" s="15"/>
      <c r="L28" s="294" t="str">
        <f>IF(I28&gt;=0,"OK","ERROR")</f>
        <v>OK</v>
      </c>
    </row>
    <row r="29" spans="1:20" ht="21.6" customHeight="1" thickTop="1" thickBot="1" x14ac:dyDescent="0.25">
      <c r="A29" s="297" t="s">
        <v>900</v>
      </c>
      <c r="B29" s="1499" t="s">
        <v>901</v>
      </c>
      <c r="C29" s="1499"/>
      <c r="D29" s="1499"/>
      <c r="E29" s="1499"/>
      <c r="F29" s="1499"/>
      <c r="G29" s="1499"/>
      <c r="H29" s="216"/>
      <c r="I29" s="292">
        <f>I18+I23+I26</f>
        <v>174738805.9375</v>
      </c>
      <c r="J29" s="31">
        <v>489</v>
      </c>
      <c r="K29" s="15"/>
      <c r="L29"/>
    </row>
    <row r="30" spans="1:20" ht="35.85" customHeight="1" thickTop="1" thickBot="1" x14ac:dyDescent="0.25">
      <c r="A30" s="298" t="s">
        <v>902</v>
      </c>
      <c r="B30" s="1589" t="s">
        <v>1413</v>
      </c>
      <c r="C30" s="1590"/>
      <c r="D30" s="1590"/>
      <c r="E30" s="1590"/>
      <c r="F30" s="1590"/>
      <c r="G30" s="1590"/>
      <c r="H30" s="216"/>
      <c r="I30" s="292">
        <f>SUM((I29)+(P_CASABISIRB_RWALRD.MELD!I12/(8/100)*(I31+I32)))</f>
        <v>174738805.9375</v>
      </c>
      <c r="J30" s="31">
        <v>490</v>
      </c>
      <c r="K30" s="15"/>
      <c r="L30"/>
    </row>
    <row r="31" spans="1:20" customFormat="1" ht="21.6" customHeight="1" thickTop="1" thickBot="1" x14ac:dyDescent="0.25">
      <c r="A31" s="297" t="s">
        <v>903</v>
      </c>
      <c r="B31" s="1590" t="s">
        <v>1414</v>
      </c>
      <c r="C31" s="1590"/>
      <c r="D31" s="1590"/>
      <c r="E31" s="1590"/>
      <c r="F31" s="1590"/>
      <c r="G31" s="1590"/>
      <c r="H31" s="216"/>
      <c r="I31" s="400">
        <f>0.015+IF(OR(P_CRSABIS_OPT.MELD!$D$11=1,P_CRSABIS_OPT.MELD!$D$11=2),0.5%,IF(P_CRSABIS_OPT.MELD!$D$11=3,0.3%,IF(P_CRSABIS_OPT.MELD!$D$11=4,0.1%,IF(P_CRSABIS_OPT.MELD!$D$11=5,0%,-0.015))))</f>
        <v>0</v>
      </c>
      <c r="J31" s="31">
        <v>491</v>
      </c>
      <c r="K31" s="15"/>
      <c r="L31" s="294" t="str">
        <f>IF(I31&gt;0,"OK","ERROR")</f>
        <v>ERROR</v>
      </c>
      <c r="N31" s="1"/>
      <c r="O31" s="1"/>
      <c r="P31" s="1"/>
      <c r="Q31" s="1"/>
      <c r="R31" s="1"/>
      <c r="S31" s="1"/>
      <c r="T31" s="1"/>
    </row>
    <row r="32" spans="1:20" customFormat="1" ht="21.6" customHeight="1" thickTop="1" x14ac:dyDescent="0.2">
      <c r="A32" s="297" t="s">
        <v>904</v>
      </c>
      <c r="B32" s="1550" t="s">
        <v>905</v>
      </c>
      <c r="C32" s="1550"/>
      <c r="D32" s="1550"/>
      <c r="E32" s="1550"/>
      <c r="F32" s="1550"/>
      <c r="G32" s="1550"/>
      <c r="H32" s="216"/>
      <c r="I32" s="401"/>
      <c r="J32" s="31">
        <v>594</v>
      </c>
      <c r="K32" s="15"/>
      <c r="N32" s="1"/>
      <c r="O32" s="1"/>
      <c r="P32" s="1"/>
      <c r="Q32" s="1"/>
      <c r="R32" s="1"/>
      <c r="S32" s="1"/>
      <c r="T32" s="1"/>
    </row>
    <row r="33" spans="1:20" customFormat="1" ht="35.85" customHeight="1" thickBot="1" x14ac:dyDescent="0.25">
      <c r="A33" s="298" t="s">
        <v>906</v>
      </c>
      <c r="B33" s="1589" t="s">
        <v>1852</v>
      </c>
      <c r="C33" s="1590"/>
      <c r="D33" s="1590"/>
      <c r="E33" s="1590"/>
      <c r="F33" s="1590"/>
      <c r="G33" s="1590"/>
      <c r="H33" s="216"/>
      <c r="I33" s="292">
        <f>SUM((I30)+(P_CASABISIRB_RWALRD.MELD!I12/(8/100)*(I34+I35)))</f>
        <v>174738805.9375</v>
      </c>
      <c r="J33" s="31">
        <v>492</v>
      </c>
      <c r="K33" s="15"/>
      <c r="N33" s="1"/>
      <c r="O33" s="1"/>
      <c r="P33" s="1"/>
      <c r="Q33" s="1"/>
      <c r="R33" s="1"/>
      <c r="S33" s="1"/>
      <c r="T33" s="1"/>
    </row>
    <row r="34" spans="1:20" customFormat="1" ht="21.6" customHeight="1" thickTop="1" thickBot="1" x14ac:dyDescent="0.25">
      <c r="A34" s="297" t="s">
        <v>907</v>
      </c>
      <c r="B34" s="1590" t="s">
        <v>1853</v>
      </c>
      <c r="C34" s="1590"/>
      <c r="D34" s="1590"/>
      <c r="E34" s="1590"/>
      <c r="F34" s="1590"/>
      <c r="G34" s="1590"/>
      <c r="H34" s="216"/>
      <c r="I34" s="400">
        <f>0.02+IF(OR(P_CRSABIS_OPT.MELD!$D$11=1,P_CRSABIS_OPT.MELD!$D$11=2),0.6%,IF(P_CRSABIS_OPT.MELD!$D$11=3,0.4%,IF(P_CRSABIS_OPT.MELD!$D$11=4,0.2%,IF(P_CRSABIS_OPT.MELD!$D$11=5,0%,-0.02))))</f>
        <v>0</v>
      </c>
      <c r="J34" s="31">
        <v>493</v>
      </c>
      <c r="K34" s="15"/>
      <c r="L34" s="294" t="str">
        <f>IF(I34&gt;0,"OK","ERROR")</f>
        <v>ERROR</v>
      </c>
      <c r="N34" s="1"/>
      <c r="O34" s="1"/>
      <c r="P34" s="1"/>
      <c r="Q34" s="1"/>
      <c r="R34" s="1"/>
      <c r="S34" s="1"/>
      <c r="T34" s="1"/>
    </row>
    <row r="35" spans="1:20" customFormat="1" ht="21.6" customHeight="1" thickTop="1" x14ac:dyDescent="0.2">
      <c r="A35" s="297" t="s">
        <v>908</v>
      </c>
      <c r="B35" s="1541" t="s">
        <v>909</v>
      </c>
      <c r="C35" s="1541"/>
      <c r="D35" s="1541"/>
      <c r="E35" s="1541"/>
      <c r="F35" s="1541"/>
      <c r="G35" s="1541"/>
      <c r="H35" s="216"/>
      <c r="I35" s="401"/>
      <c r="J35" s="31">
        <v>595</v>
      </c>
      <c r="K35" s="15"/>
      <c r="L35" s="280"/>
      <c r="N35" s="1"/>
      <c r="O35" s="1"/>
      <c r="P35" s="1"/>
      <c r="Q35" s="1"/>
      <c r="R35" s="1"/>
      <c r="S35" s="1"/>
      <c r="T35" s="1"/>
    </row>
    <row r="36" spans="1:20" customFormat="1" ht="41.25" customHeight="1" thickBot="1" x14ac:dyDescent="0.3">
      <c r="A36" s="324" t="s">
        <v>910</v>
      </c>
      <c r="B36" s="1552" t="s">
        <v>911</v>
      </c>
      <c r="C36" s="1552"/>
      <c r="D36" s="1552"/>
      <c r="E36" s="1552"/>
      <c r="F36" s="1552"/>
      <c r="G36" s="1552"/>
      <c r="H36" s="216"/>
      <c r="I36" s="32">
        <f>I37+I42</f>
        <v>0</v>
      </c>
      <c r="J36" s="933"/>
      <c r="K36" s="15"/>
      <c r="L36" s="280"/>
      <c r="N36" s="1"/>
      <c r="O36" s="1"/>
      <c r="P36" s="1"/>
      <c r="Q36" s="1"/>
      <c r="R36" s="1"/>
      <c r="S36" s="1"/>
      <c r="T36" s="1"/>
    </row>
    <row r="37" spans="1:20" customFormat="1" ht="21.6" customHeight="1" thickTop="1" x14ac:dyDescent="0.2">
      <c r="A37" s="382" t="s">
        <v>912</v>
      </c>
      <c r="B37" s="1586" t="s">
        <v>913</v>
      </c>
      <c r="C37" s="1586"/>
      <c r="D37" s="1586"/>
      <c r="E37" s="1586"/>
      <c r="F37" s="1586"/>
      <c r="G37" s="1586"/>
      <c r="H37" s="216"/>
      <c r="I37" s="33"/>
      <c r="J37" s="31">
        <v>495</v>
      </c>
      <c r="K37" s="15"/>
      <c r="L37" s="294" t="str">
        <f>IF(I37&gt;=0,"OK","ERROR")</f>
        <v>OK</v>
      </c>
      <c r="N37" s="1"/>
      <c r="O37" s="1"/>
      <c r="P37" s="1"/>
      <c r="Q37" s="1"/>
      <c r="R37" s="1"/>
      <c r="S37" s="1"/>
      <c r="T37" s="1"/>
    </row>
    <row r="38" spans="1:20" customFormat="1" ht="21.6" customHeight="1" x14ac:dyDescent="0.2">
      <c r="A38" s="382"/>
      <c r="B38" s="1584" t="s">
        <v>556</v>
      </c>
      <c r="C38" s="1584"/>
      <c r="D38" s="1584"/>
      <c r="E38" s="1584"/>
      <c r="F38" s="1584"/>
      <c r="G38" s="1584"/>
      <c r="H38" s="216"/>
      <c r="I38" s="389"/>
      <c r="J38" s="31"/>
      <c r="K38" s="15"/>
      <c r="L38" s="280"/>
      <c r="N38" s="1"/>
      <c r="O38" s="1"/>
      <c r="P38" s="1"/>
      <c r="Q38" s="1"/>
      <c r="R38" s="1"/>
      <c r="S38" s="1"/>
      <c r="T38" s="1"/>
    </row>
    <row r="39" spans="1:20" customFormat="1" ht="21.6" customHeight="1" x14ac:dyDescent="0.2">
      <c r="A39" s="382" t="s">
        <v>914</v>
      </c>
      <c r="B39" s="1586" t="s">
        <v>915</v>
      </c>
      <c r="C39" s="1586"/>
      <c r="D39" s="1586"/>
      <c r="E39" s="1586"/>
      <c r="F39" s="1586"/>
      <c r="G39" s="1586"/>
      <c r="H39" s="216"/>
      <c r="I39" s="33"/>
      <c r="J39" s="31">
        <v>496</v>
      </c>
      <c r="K39" s="15"/>
      <c r="L39" s="294" t="str">
        <f>IF(AND(I39&gt;=0,I39&lt;=$I$37),"OK","ERROR")</f>
        <v>OK</v>
      </c>
      <c r="N39" s="1"/>
      <c r="O39" s="1"/>
      <c r="P39" s="1"/>
      <c r="Q39" s="1"/>
      <c r="R39" s="1"/>
      <c r="S39" s="1"/>
      <c r="T39" s="1"/>
    </row>
    <row r="40" spans="1:20" customFormat="1" ht="21.6" customHeight="1" x14ac:dyDescent="0.2">
      <c r="A40" s="382" t="s">
        <v>916</v>
      </c>
      <c r="B40" s="1581" t="s">
        <v>917</v>
      </c>
      <c r="C40" s="1581"/>
      <c r="D40" s="1581"/>
      <c r="E40" s="1581"/>
      <c r="F40" s="1581"/>
      <c r="G40" s="1581"/>
      <c r="H40" s="216"/>
      <c r="I40" s="33"/>
      <c r="J40" s="31">
        <v>497</v>
      </c>
      <c r="K40" s="15"/>
      <c r="L40" s="294" t="str">
        <f>IF(AND(I40&gt;=0,I40&lt;=$I$37),"OK","ERROR")</f>
        <v>OK</v>
      </c>
      <c r="N40" s="1"/>
      <c r="O40" s="1"/>
      <c r="P40" s="1"/>
      <c r="Q40" s="1"/>
      <c r="R40" s="1"/>
      <c r="S40" s="1"/>
      <c r="T40" s="1"/>
    </row>
    <row r="41" spans="1:20" customFormat="1" ht="21.6" customHeight="1" x14ac:dyDescent="0.2">
      <c r="A41" s="382" t="s">
        <v>918</v>
      </c>
      <c r="B41" s="1581" t="s">
        <v>919</v>
      </c>
      <c r="C41" s="1581"/>
      <c r="D41" s="1581"/>
      <c r="E41" s="1581"/>
      <c r="F41" s="1581"/>
      <c r="G41" s="1581"/>
      <c r="H41" s="216"/>
      <c r="I41" s="33"/>
      <c r="J41" s="31">
        <v>498</v>
      </c>
      <c r="K41" s="15"/>
      <c r="L41" s="294" t="str">
        <f>IF(AND(I41&gt;=0,I41&lt;=$I$37),"OK","ERROR")</f>
        <v>OK</v>
      </c>
      <c r="N41" s="1"/>
      <c r="O41" s="1"/>
      <c r="P41" s="1"/>
      <c r="Q41" s="1"/>
      <c r="R41" s="1"/>
      <c r="S41" s="1"/>
      <c r="T41" s="1"/>
    </row>
    <row r="42" spans="1:20" customFormat="1" ht="21.6" customHeight="1" x14ac:dyDescent="0.2">
      <c r="A42" s="382" t="s">
        <v>920</v>
      </c>
      <c r="B42" s="1499" t="s">
        <v>921</v>
      </c>
      <c r="C42" s="1499"/>
      <c r="D42" s="1499"/>
      <c r="E42" s="1499"/>
      <c r="F42" s="1499"/>
      <c r="G42" s="1499"/>
      <c r="H42" s="216"/>
      <c r="I42" s="33"/>
      <c r="J42" s="31">
        <v>499</v>
      </c>
      <c r="K42" s="15"/>
      <c r="L42" s="294" t="str">
        <f>IF(I42&gt;=0,"OK","ERROR")</f>
        <v>OK</v>
      </c>
      <c r="N42" s="1"/>
      <c r="O42" s="1"/>
      <c r="P42" s="1"/>
      <c r="Q42" s="1"/>
      <c r="R42" s="1"/>
      <c r="S42" s="1"/>
      <c r="T42" s="1"/>
    </row>
    <row r="43" spans="1:20" customFormat="1" ht="21.6" customHeight="1" x14ac:dyDescent="0.2">
      <c r="A43" s="382" t="s">
        <v>922</v>
      </c>
      <c r="B43" s="1586" t="s">
        <v>923</v>
      </c>
      <c r="C43" s="1586"/>
      <c r="D43" s="1586"/>
      <c r="E43" s="1586"/>
      <c r="F43" s="1586"/>
      <c r="G43" s="1586"/>
      <c r="H43" s="216"/>
      <c r="I43" s="33"/>
      <c r="J43" s="31">
        <v>500</v>
      </c>
      <c r="K43" s="15"/>
      <c r="L43" s="294" t="str">
        <f>IF(AND(I43&gt;=0,I43&lt;=$I$42),"OK","ERROR")</f>
        <v>OK</v>
      </c>
      <c r="N43" s="1"/>
      <c r="O43" s="1"/>
      <c r="P43" s="1"/>
      <c r="Q43" s="1"/>
      <c r="R43" s="1"/>
      <c r="S43" s="1"/>
      <c r="T43" s="1"/>
    </row>
    <row r="44" spans="1:20" customFormat="1" ht="21.6" customHeight="1" x14ac:dyDescent="0.2">
      <c r="A44" s="382" t="s">
        <v>924</v>
      </c>
      <c r="B44" s="1581" t="s">
        <v>925</v>
      </c>
      <c r="C44" s="1581"/>
      <c r="D44" s="1581"/>
      <c r="E44" s="1581"/>
      <c r="F44" s="1581"/>
      <c r="G44" s="1581"/>
      <c r="H44" s="216"/>
      <c r="I44" s="33"/>
      <c r="J44" s="31">
        <v>501</v>
      </c>
      <c r="K44" s="15"/>
      <c r="L44" s="294" t="str">
        <f>IF(AND(I44&gt;=0,I44&lt;=$I$42),"OK","ERROR")</f>
        <v>OK</v>
      </c>
      <c r="N44" s="1"/>
      <c r="O44" s="1"/>
      <c r="P44" s="1"/>
      <c r="Q44" s="1"/>
      <c r="R44" s="1"/>
      <c r="S44" s="1"/>
      <c r="T44" s="1"/>
    </row>
    <row r="45" spans="1:20" customFormat="1" ht="21.6" customHeight="1" x14ac:dyDescent="0.2">
      <c r="A45" s="382" t="s">
        <v>926</v>
      </c>
      <c r="B45" s="1581" t="s">
        <v>927</v>
      </c>
      <c r="C45" s="1581"/>
      <c r="D45" s="1581"/>
      <c r="E45" s="1581"/>
      <c r="F45" s="1581"/>
      <c r="G45" s="1581"/>
      <c r="H45" s="216"/>
      <c r="I45" s="33"/>
      <c r="J45" s="31">
        <v>502</v>
      </c>
      <c r="K45" s="15"/>
      <c r="L45" s="294" t="str">
        <f>IF(AND(I45&gt;=0,I45&lt;=$I$42),"OK","ERROR")</f>
        <v>OK</v>
      </c>
      <c r="N45" s="1"/>
      <c r="O45" s="1"/>
      <c r="P45" s="1"/>
      <c r="Q45" s="1"/>
      <c r="R45" s="1"/>
      <c r="S45" s="1"/>
      <c r="T45" s="1"/>
    </row>
    <row r="46" spans="1:20" customFormat="1" ht="21.6" customHeight="1" x14ac:dyDescent="0.2">
      <c r="A46" s="382" t="s">
        <v>928</v>
      </c>
      <c r="B46" s="1586" t="s">
        <v>929</v>
      </c>
      <c r="C46" s="1586"/>
      <c r="D46" s="1586"/>
      <c r="E46" s="1586"/>
      <c r="F46" s="1586"/>
      <c r="G46" s="1586"/>
      <c r="H46" s="216"/>
      <c r="I46" s="33"/>
      <c r="J46" s="31">
        <v>503</v>
      </c>
      <c r="K46" s="15"/>
      <c r="L46" s="294" t="str">
        <f>IF(I46&gt;=0,"OK","ERROR")</f>
        <v>OK</v>
      </c>
      <c r="N46" s="1"/>
      <c r="O46" s="1"/>
      <c r="P46" s="1"/>
      <c r="Q46" s="1"/>
      <c r="R46" s="1"/>
      <c r="S46" s="1"/>
      <c r="T46" s="1"/>
    </row>
    <row r="47" spans="1:20" customFormat="1" ht="21.6" customHeight="1" x14ac:dyDescent="0.2">
      <c r="A47" s="382" t="s">
        <v>930</v>
      </c>
      <c r="B47" s="1581" t="s">
        <v>931</v>
      </c>
      <c r="C47" s="1581"/>
      <c r="D47" s="1581"/>
      <c r="E47" s="1581"/>
      <c r="F47" s="1581"/>
      <c r="G47" s="1581"/>
      <c r="H47" s="216"/>
      <c r="I47" s="33"/>
      <c r="J47" s="31">
        <v>504</v>
      </c>
      <c r="K47" s="15"/>
      <c r="L47" s="294" t="str">
        <f>IF(I47&gt;=0,"OK","ERROR")</f>
        <v>OK</v>
      </c>
      <c r="N47" s="1"/>
      <c r="O47" s="1"/>
      <c r="P47" s="1"/>
      <c r="Q47" s="1"/>
      <c r="R47" s="1"/>
      <c r="S47" s="1"/>
      <c r="T47" s="1"/>
    </row>
    <row r="48" spans="1:20" customFormat="1" ht="21.6" customHeight="1" x14ac:dyDescent="0.2">
      <c r="A48" s="382" t="s">
        <v>932</v>
      </c>
      <c r="B48" s="1581" t="s">
        <v>933</v>
      </c>
      <c r="C48" s="1581"/>
      <c r="D48" s="1581"/>
      <c r="E48" s="1581"/>
      <c r="F48" s="1581"/>
      <c r="G48" s="1581"/>
      <c r="H48" s="216"/>
      <c r="I48" s="33"/>
      <c r="J48" s="31">
        <v>505</v>
      </c>
      <c r="K48" s="15"/>
      <c r="L48" s="294" t="str">
        <f>IF(I48&gt;=0,"OK","ERROR")</f>
        <v>OK</v>
      </c>
      <c r="N48" s="1"/>
      <c r="O48" s="1"/>
      <c r="P48" s="1"/>
      <c r="Q48" s="1"/>
      <c r="R48" s="1"/>
      <c r="S48" s="1"/>
      <c r="T48" s="1"/>
    </row>
    <row r="49" spans="1:20" customFormat="1" ht="21.6" customHeight="1" x14ac:dyDescent="0.2">
      <c r="A49" s="382" t="s">
        <v>934</v>
      </c>
      <c r="B49" s="1581" t="s">
        <v>935</v>
      </c>
      <c r="C49" s="1581"/>
      <c r="D49" s="1581"/>
      <c r="E49" s="1581"/>
      <c r="F49" s="1581"/>
      <c r="G49" s="1581"/>
      <c r="H49" s="216"/>
      <c r="I49" s="33"/>
      <c r="J49" s="31">
        <v>506</v>
      </c>
      <c r="K49" s="15"/>
      <c r="L49" s="294" t="str">
        <f>IF(I49&gt;=0,"OK","ERROR")</f>
        <v>OK</v>
      </c>
      <c r="N49" s="1"/>
      <c r="O49" s="1"/>
      <c r="P49" s="1"/>
      <c r="Q49" s="1"/>
      <c r="R49" s="1"/>
      <c r="S49" s="1"/>
      <c r="T49" s="1"/>
    </row>
    <row r="50" spans="1:20" customFormat="1" ht="21.6" customHeight="1" x14ac:dyDescent="0.2">
      <c r="A50" s="382" t="s">
        <v>936</v>
      </c>
      <c r="B50" s="1581" t="s">
        <v>937</v>
      </c>
      <c r="C50" s="1581"/>
      <c r="D50" s="1581"/>
      <c r="E50" s="1581"/>
      <c r="F50" s="1581"/>
      <c r="G50" s="1581"/>
      <c r="H50" s="216"/>
      <c r="I50" s="33"/>
      <c r="J50" s="31">
        <v>507</v>
      </c>
      <c r="K50" s="15"/>
      <c r="L50" s="294" t="str">
        <f>IF(I50&gt;=0,"OK","ERROR")</f>
        <v>OK</v>
      </c>
      <c r="N50" s="1"/>
      <c r="O50" s="1"/>
      <c r="P50" s="1"/>
      <c r="Q50" s="1"/>
      <c r="R50" s="1"/>
      <c r="S50" s="1"/>
      <c r="T50" s="1"/>
    </row>
    <row r="51" spans="1:20" customFormat="1" ht="41.25" customHeight="1" x14ac:dyDescent="0.25">
      <c r="A51" s="392" t="s">
        <v>938</v>
      </c>
      <c r="B51" s="1552" t="s">
        <v>939</v>
      </c>
      <c r="C51" s="1552"/>
      <c r="D51" s="1552"/>
      <c r="E51" s="1552"/>
      <c r="F51" s="1552"/>
      <c r="G51" s="1552"/>
      <c r="H51" s="216"/>
      <c r="I51" s="33"/>
      <c r="J51" s="31">
        <v>508</v>
      </c>
      <c r="K51" s="15"/>
      <c r="L51" s="294" t="str">
        <f>IF(I51&lt;=0,"OK","ERROR")</f>
        <v>OK</v>
      </c>
      <c r="N51" s="1"/>
      <c r="O51" s="1"/>
      <c r="P51" s="1"/>
      <c r="Q51" s="1"/>
      <c r="R51" s="1"/>
      <c r="S51" s="1"/>
      <c r="T51" s="1"/>
    </row>
    <row r="52" spans="1:20" customFormat="1" ht="21.6" customHeight="1" x14ac:dyDescent="0.2">
      <c r="A52" s="382"/>
      <c r="B52" s="1584" t="s">
        <v>940</v>
      </c>
      <c r="C52" s="1584"/>
      <c r="D52" s="1584"/>
      <c r="E52" s="1584"/>
      <c r="F52" s="1584"/>
      <c r="G52" s="1584"/>
      <c r="H52" s="216"/>
      <c r="I52" s="389"/>
      <c r="J52" s="31"/>
      <c r="K52" s="15"/>
      <c r="L52" s="280"/>
      <c r="N52" s="1"/>
      <c r="O52" s="1"/>
      <c r="P52" s="1"/>
      <c r="Q52" s="1"/>
      <c r="R52" s="1"/>
      <c r="S52" s="1"/>
      <c r="T52" s="1"/>
    </row>
    <row r="53" spans="1:20" customFormat="1" ht="21.6" customHeight="1" x14ac:dyDescent="0.2">
      <c r="A53" s="382" t="s">
        <v>941</v>
      </c>
      <c r="B53" s="1586" t="s">
        <v>942</v>
      </c>
      <c r="C53" s="1586"/>
      <c r="D53" s="1586"/>
      <c r="E53" s="1586"/>
      <c r="F53" s="1586"/>
      <c r="G53" s="1586"/>
      <c r="H53" s="216"/>
      <c r="I53" s="33"/>
      <c r="J53" s="31">
        <v>509</v>
      </c>
      <c r="K53" s="15"/>
      <c r="L53" s="294" t="str">
        <f>IF(AND(I53&lt;=0,I53&gt;=$I$51),"OK","ERROR")</f>
        <v>OK</v>
      </c>
      <c r="N53" s="1"/>
      <c r="O53" s="1"/>
      <c r="P53" s="1"/>
      <c r="Q53" s="1"/>
      <c r="R53" s="1"/>
      <c r="S53" s="1"/>
      <c r="T53" s="1"/>
    </row>
    <row r="54" spans="1:20" customFormat="1" ht="21.6" customHeight="1" x14ac:dyDescent="0.2">
      <c r="A54" s="382" t="s">
        <v>943</v>
      </c>
      <c r="B54" s="1581" t="s">
        <v>944</v>
      </c>
      <c r="C54" s="1581"/>
      <c r="D54" s="1581"/>
      <c r="E54" s="1581"/>
      <c r="F54" s="1581"/>
      <c r="G54" s="1581"/>
      <c r="H54" s="216"/>
      <c r="I54" s="33"/>
      <c r="J54" s="31">
        <v>510</v>
      </c>
      <c r="K54" s="15"/>
      <c r="L54" s="294" t="str">
        <f>IF(AND(I54&lt;=0,I54&gt;=$I$51),"OK","ERROR")</f>
        <v>OK</v>
      </c>
      <c r="N54" s="1"/>
      <c r="O54" s="1"/>
      <c r="P54" s="1"/>
      <c r="Q54" s="1"/>
      <c r="R54" s="1"/>
      <c r="S54" s="1"/>
      <c r="T54" s="1"/>
    </row>
    <row r="55" spans="1:20" customFormat="1" ht="21.6" customHeight="1" x14ac:dyDescent="0.2">
      <c r="A55" s="382" t="s">
        <v>945</v>
      </c>
      <c r="B55" s="1581" t="s">
        <v>946</v>
      </c>
      <c r="C55" s="1581"/>
      <c r="D55" s="1581"/>
      <c r="E55" s="1581"/>
      <c r="F55" s="1581"/>
      <c r="G55" s="1581"/>
      <c r="H55" s="216"/>
      <c r="I55" s="33"/>
      <c r="J55" s="31">
        <v>511</v>
      </c>
      <c r="K55" s="15"/>
      <c r="L55" s="294" t="str">
        <f>IF(AND(I55&lt;=0,I55&gt;=$I$51),"OK","ERROR")</f>
        <v>OK</v>
      </c>
      <c r="N55" s="1"/>
      <c r="O55" s="1"/>
      <c r="P55" s="1"/>
      <c r="Q55" s="1"/>
      <c r="R55" s="1"/>
      <c r="S55" s="1"/>
      <c r="T55" s="1"/>
    </row>
    <row r="56" spans="1:20" customFormat="1" ht="41.25" customHeight="1" x14ac:dyDescent="0.25">
      <c r="A56" s="392" t="s">
        <v>947</v>
      </c>
      <c r="B56" s="1645" t="s">
        <v>948</v>
      </c>
      <c r="C56" s="1645"/>
      <c r="D56" s="1645"/>
      <c r="E56" s="1645"/>
      <c r="F56" s="1645"/>
      <c r="G56" s="1645"/>
      <c r="H56" s="216"/>
      <c r="I56" s="389"/>
      <c r="J56" s="31"/>
      <c r="K56" s="15"/>
      <c r="L56" s="280"/>
      <c r="N56" s="1"/>
      <c r="O56" s="1"/>
      <c r="P56" s="1"/>
      <c r="Q56" s="1"/>
      <c r="R56" s="1"/>
      <c r="S56" s="1"/>
      <c r="T56" s="1"/>
    </row>
    <row r="57" spans="1:20" customFormat="1" ht="21.6" customHeight="1" thickBot="1" x14ac:dyDescent="0.25">
      <c r="A57" s="382" t="s">
        <v>949</v>
      </c>
      <c r="B57" s="1586" t="s">
        <v>950</v>
      </c>
      <c r="C57" s="1586"/>
      <c r="D57" s="1586"/>
      <c r="E57" s="1586"/>
      <c r="F57" s="1586"/>
      <c r="G57" s="1586"/>
      <c r="H57" s="216"/>
      <c r="I57" s="32">
        <f>I29+I39+I43+I53</f>
        <v>174738805.9375</v>
      </c>
      <c r="J57" s="31">
        <v>512</v>
      </c>
      <c r="K57" s="15"/>
      <c r="L57" s="294" t="str">
        <f>IF(I57&gt;=0,"OK","ERROR")</f>
        <v>OK</v>
      </c>
      <c r="N57" s="1"/>
      <c r="O57" s="1"/>
      <c r="P57" s="1"/>
      <c r="Q57" s="1"/>
      <c r="R57" s="1"/>
      <c r="S57" s="1"/>
      <c r="T57" s="1"/>
    </row>
    <row r="58" spans="1:20" customFormat="1" ht="21.6" customHeight="1" thickTop="1" thickBot="1" x14ac:dyDescent="0.25">
      <c r="A58" s="382" t="s">
        <v>951</v>
      </c>
      <c r="B58" s="1581" t="s">
        <v>952</v>
      </c>
      <c r="C58" s="1581"/>
      <c r="D58" s="1581"/>
      <c r="E58" s="1581"/>
      <c r="F58" s="1581"/>
      <c r="G58" s="1581"/>
      <c r="H58" s="216"/>
      <c r="I58" s="32">
        <f>I30+I39+I40+I43+I44+I53+I54</f>
        <v>174738805.9375</v>
      </c>
      <c r="J58" s="31">
        <v>513</v>
      </c>
      <c r="K58" s="15"/>
      <c r="L58" s="294" t="str">
        <f>IF(I58&gt;=0,"OK","ERROR")</f>
        <v>OK</v>
      </c>
      <c r="N58" s="1"/>
      <c r="O58" s="1"/>
      <c r="P58" s="1"/>
      <c r="Q58" s="1"/>
      <c r="R58" s="1"/>
      <c r="S58" s="1"/>
      <c r="T58" s="1"/>
    </row>
    <row r="59" spans="1:20" customFormat="1" ht="21.6" customHeight="1" thickTop="1" thickBot="1" x14ac:dyDescent="0.25">
      <c r="A59" s="382" t="s">
        <v>953</v>
      </c>
      <c r="B59" s="1581" t="s">
        <v>954</v>
      </c>
      <c r="C59" s="1581"/>
      <c r="D59" s="1581"/>
      <c r="E59" s="1581"/>
      <c r="F59" s="1581"/>
      <c r="G59" s="1581"/>
      <c r="H59" s="216"/>
      <c r="I59" s="402">
        <f>I33+I36+I51</f>
        <v>174738805.9375</v>
      </c>
      <c r="J59" s="31">
        <v>514</v>
      </c>
      <c r="K59" s="15"/>
      <c r="L59" s="294" t="str">
        <f>IF(I59&gt;=0,"OK","ERROR")</f>
        <v>OK</v>
      </c>
      <c r="N59" s="1"/>
      <c r="O59" s="1"/>
      <c r="P59" s="1"/>
      <c r="Q59" s="1"/>
      <c r="R59" s="1"/>
      <c r="S59" s="1"/>
      <c r="T59" s="1"/>
    </row>
    <row r="60" spans="1:20" customFormat="1" ht="41.25" customHeight="1" thickTop="1" x14ac:dyDescent="0.25">
      <c r="A60" s="380" t="s">
        <v>955</v>
      </c>
      <c r="B60" s="1648" t="s">
        <v>2235</v>
      </c>
      <c r="C60" s="1649"/>
      <c r="D60" s="1649"/>
      <c r="E60" s="1649"/>
      <c r="F60" s="1649"/>
      <c r="G60" s="1649"/>
      <c r="H60" s="216"/>
      <c r="I60" s="389"/>
      <c r="J60" s="31"/>
      <c r="K60" s="15"/>
      <c r="L60" s="280"/>
      <c r="N60" s="1"/>
      <c r="O60" s="1"/>
      <c r="P60" s="1"/>
      <c r="Q60" s="1"/>
      <c r="R60" s="1"/>
      <c r="S60" s="1"/>
      <c r="T60" s="1"/>
    </row>
    <row r="61" spans="1:20" customFormat="1" ht="21.6" customHeight="1" x14ac:dyDescent="0.2">
      <c r="A61" s="382" t="s">
        <v>957</v>
      </c>
      <c r="B61" s="1586" t="s">
        <v>958</v>
      </c>
      <c r="C61" s="1586"/>
      <c r="D61" s="1586"/>
      <c r="E61" s="1586"/>
      <c r="F61" s="1586"/>
      <c r="G61" s="1586"/>
      <c r="H61" s="216"/>
      <c r="I61" s="33"/>
      <c r="J61" s="31">
        <v>515</v>
      </c>
      <c r="K61" s="15"/>
      <c r="L61" s="294" t="str">
        <f>IF(I61&gt;=0,"OK","ERROR")</f>
        <v>OK</v>
      </c>
      <c r="N61" s="1"/>
      <c r="O61" s="1"/>
      <c r="P61" s="1"/>
      <c r="Q61" s="1"/>
      <c r="R61" s="1"/>
      <c r="S61" s="1"/>
      <c r="T61" s="1"/>
    </row>
    <row r="62" spans="1:20" customFormat="1" ht="21.6" customHeight="1" x14ac:dyDescent="0.2">
      <c r="A62" s="382" t="s">
        <v>959</v>
      </c>
      <c r="B62" s="1581" t="s">
        <v>960</v>
      </c>
      <c r="C62" s="1581"/>
      <c r="D62" s="1581"/>
      <c r="E62" s="1581"/>
      <c r="F62" s="1581"/>
      <c r="G62" s="1581"/>
      <c r="H62" s="216"/>
      <c r="I62" s="33"/>
      <c r="J62" s="31">
        <v>516</v>
      </c>
      <c r="K62" s="15"/>
      <c r="L62" s="294" t="str">
        <f>IF(I62&gt;=0,"OK","ERROR")</f>
        <v>OK</v>
      </c>
      <c r="N62" s="1"/>
      <c r="O62" s="1"/>
      <c r="P62" s="1"/>
      <c r="Q62" s="1"/>
      <c r="R62" s="1"/>
      <c r="S62" s="1"/>
      <c r="T62" s="1"/>
    </row>
    <row r="63" spans="1:20" ht="41.25" customHeight="1" x14ac:dyDescent="0.25">
      <c r="A63" s="380" t="s">
        <v>961</v>
      </c>
      <c r="B63" s="1646" t="s">
        <v>962</v>
      </c>
      <c r="C63" s="1647"/>
      <c r="D63" s="1647"/>
      <c r="E63" s="1647"/>
      <c r="F63" s="1647"/>
      <c r="G63" s="1647"/>
      <c r="H63" s="216"/>
      <c r="I63" s="33"/>
      <c r="J63" s="31">
        <v>517</v>
      </c>
      <c r="K63" s="15"/>
      <c r="L63" s="294" t="str">
        <f>IF(I63&gt;=0,"OK","ERROR")</f>
        <v>OK</v>
      </c>
    </row>
    <row r="64" spans="1:20" ht="41.25" customHeight="1" x14ac:dyDescent="0.25">
      <c r="A64" s="1318" t="s">
        <v>1238</v>
      </c>
      <c r="B64" s="1643" t="s">
        <v>1748</v>
      </c>
      <c r="C64" s="1644"/>
      <c r="D64" s="1644"/>
      <c r="E64" s="1644"/>
      <c r="F64" s="1644"/>
      <c r="G64" s="1644"/>
      <c r="H64" s="216"/>
      <c r="I64" s="389"/>
      <c r="J64" s="31"/>
      <c r="K64" s="9"/>
    </row>
    <row r="65" spans="1:20" ht="21.6" customHeight="1" thickBot="1" x14ac:dyDescent="0.25">
      <c r="A65" s="963" t="s">
        <v>2080</v>
      </c>
      <c r="B65" s="1635" t="s">
        <v>2083</v>
      </c>
      <c r="C65" s="1635"/>
      <c r="D65" s="1635"/>
      <c r="E65" s="1635"/>
      <c r="F65" s="1635"/>
      <c r="G65" s="1635"/>
      <c r="H65" s="216"/>
      <c r="I65" s="402">
        <f>3%*P_CASABISIRB_RWALRD.MELD!I94</f>
        <v>24300000</v>
      </c>
      <c r="J65" s="229" t="s">
        <v>241</v>
      </c>
      <c r="K65" s="9"/>
      <c r="L65" s="458" t="str">
        <f>IF(I65&gt;=0,"OK","ERROR")</f>
        <v>OK</v>
      </c>
    </row>
    <row r="66" spans="1:20" ht="41.25" customHeight="1" thickTop="1" x14ac:dyDescent="0.25">
      <c r="A66" s="398" t="s">
        <v>1746</v>
      </c>
      <c r="B66" s="1650" t="s">
        <v>2076</v>
      </c>
      <c r="C66" s="1650"/>
      <c r="D66" s="1650"/>
      <c r="E66" s="1650"/>
      <c r="F66" s="1650"/>
      <c r="G66" s="1650"/>
      <c r="H66" s="216"/>
      <c r="I66" s="389"/>
      <c r="J66" s="31"/>
      <c r="K66" s="9"/>
    </row>
    <row r="67" spans="1:20" ht="30.6" customHeight="1" thickBot="1" x14ac:dyDescent="0.25">
      <c r="A67" s="962" t="s">
        <v>1747</v>
      </c>
      <c r="B67" s="1634" t="s">
        <v>2236</v>
      </c>
      <c r="C67" s="1634"/>
      <c r="D67" s="1634"/>
      <c r="E67" s="1634"/>
      <c r="F67" s="1634"/>
      <c r="G67" s="1634"/>
      <c r="H67" s="9"/>
      <c r="I67" s="402">
        <f>MAX(I59,I65)</f>
        <v>174738805.9375</v>
      </c>
      <c r="J67" s="229" t="s">
        <v>241</v>
      </c>
      <c r="K67" s="9"/>
      <c r="L67" s="458" t="str">
        <f>IF(I67&gt;=0,"OK","ERROR")</f>
        <v>OK</v>
      </c>
    </row>
    <row r="68" spans="1:20" ht="21.6" customHeight="1" thickTop="1" thickBot="1" x14ac:dyDescent="0.25">
      <c r="A68" s="962" t="s">
        <v>2081</v>
      </c>
      <c r="B68" s="1635" t="s">
        <v>2077</v>
      </c>
      <c r="C68" s="1635"/>
      <c r="D68" s="1635"/>
      <c r="E68" s="1635"/>
      <c r="F68" s="1635"/>
      <c r="G68" s="1635"/>
      <c r="H68" s="9"/>
      <c r="I68" s="402">
        <f>MAX(I58,I65)</f>
        <v>174738805.9375</v>
      </c>
      <c r="J68" s="229" t="s">
        <v>241</v>
      </c>
      <c r="K68" s="9"/>
      <c r="L68" s="458" t="str">
        <f>IF(I68&gt;=0,"OK","ERROR")</f>
        <v>OK</v>
      </c>
    </row>
    <row r="69" spans="1:20" customFormat="1" ht="7.5" customHeight="1" thickTop="1" x14ac:dyDescent="0.2">
      <c r="A69" s="369"/>
      <c r="B69" s="1574"/>
      <c r="C69" s="1574"/>
      <c r="D69" s="1574"/>
      <c r="E69" s="1574"/>
      <c r="F69" s="1574"/>
      <c r="G69" s="1574"/>
      <c r="H69" s="12"/>
      <c r="I69" s="234"/>
      <c r="J69" s="28"/>
      <c r="K69" s="9"/>
      <c r="L69" s="285"/>
      <c r="N69" s="1"/>
      <c r="O69" s="1"/>
      <c r="P69" s="1"/>
      <c r="Q69" s="1"/>
      <c r="R69" s="1"/>
      <c r="S69" s="1"/>
      <c r="T69" s="1"/>
    </row>
    <row r="70" spans="1:20" customFormat="1" ht="18.75" customHeight="1" x14ac:dyDescent="0.2">
      <c r="A70" s="370"/>
      <c r="B70" s="26" t="str">
        <f>"Version: "&amp;D80</f>
        <v>Version: 3.03.E0</v>
      </c>
      <c r="C70" s="9"/>
      <c r="D70" s="9"/>
      <c r="E70" s="9"/>
      <c r="F70" s="9"/>
      <c r="G70" s="9"/>
      <c r="H70" s="9"/>
      <c r="I70" s="1"/>
      <c r="J70" s="235" t="s">
        <v>25</v>
      </c>
      <c r="K70" s="1"/>
      <c r="L70" s="280"/>
      <c r="N70" s="1"/>
      <c r="O70" s="1"/>
      <c r="P70" s="1"/>
      <c r="Q70" s="1"/>
      <c r="R70" s="1"/>
      <c r="S70" s="1"/>
      <c r="T70" s="1"/>
    </row>
    <row r="71" spans="1:20" customFormat="1" x14ac:dyDescent="0.2">
      <c r="A71" s="281"/>
      <c r="B71" s="1"/>
      <c r="C71" s="1"/>
      <c r="D71" s="1"/>
      <c r="E71" s="1"/>
      <c r="F71" s="1"/>
      <c r="G71" s="1"/>
      <c r="H71" s="1"/>
      <c r="I71" s="1"/>
      <c r="J71" s="1"/>
      <c r="K71" s="1"/>
      <c r="L71" s="280"/>
      <c r="N71" s="1"/>
      <c r="O71" s="1"/>
      <c r="P71" s="1"/>
      <c r="Q71" s="1"/>
      <c r="R71" s="1"/>
      <c r="S71" s="1"/>
      <c r="T71" s="1"/>
    </row>
    <row r="72" spans="1:20" customFormat="1" x14ac:dyDescent="0.2">
      <c r="A72" s="371" t="s">
        <v>1226</v>
      </c>
      <c r="B72" s="1" t="s">
        <v>1227</v>
      </c>
      <c r="C72" s="1"/>
      <c r="D72" s="1"/>
      <c r="E72" s="1"/>
      <c r="F72" s="1"/>
      <c r="G72" s="1"/>
      <c r="H72" s="1"/>
      <c r="I72" s="1"/>
      <c r="J72" s="1"/>
      <c r="K72" s="1"/>
      <c r="L72" s="285"/>
      <c r="N72" s="1"/>
      <c r="O72" s="1"/>
      <c r="P72" s="1"/>
      <c r="Q72" s="1"/>
      <c r="R72" s="1"/>
      <c r="S72" s="1"/>
      <c r="T72" s="1"/>
    </row>
    <row r="73" spans="1:20" customFormat="1" x14ac:dyDescent="0.2">
      <c r="A73" s="281"/>
      <c r="B73" s="1" t="s">
        <v>1228</v>
      </c>
      <c r="C73" s="1"/>
      <c r="D73" s="1"/>
      <c r="E73" s="1"/>
      <c r="F73" s="1"/>
      <c r="G73" s="1"/>
      <c r="H73" s="1"/>
      <c r="I73" s="1"/>
      <c r="J73" s="1"/>
      <c r="K73" s="1"/>
      <c r="L73" s="280"/>
      <c r="N73" s="1"/>
      <c r="O73" s="1"/>
      <c r="P73" s="1"/>
      <c r="Q73" s="1"/>
      <c r="R73" s="1"/>
      <c r="S73" s="1"/>
      <c r="T73" s="1"/>
    </row>
    <row r="74" spans="1:20" customFormat="1" x14ac:dyDescent="0.2">
      <c r="A74" s="281"/>
      <c r="B74" s="1" t="s">
        <v>1229</v>
      </c>
      <c r="C74" s="1"/>
      <c r="D74" s="1"/>
      <c r="E74" s="1"/>
      <c r="F74" s="1"/>
      <c r="G74" s="1"/>
      <c r="H74" s="1"/>
      <c r="I74" s="1"/>
      <c r="J74" s="1"/>
      <c r="K74" s="1"/>
      <c r="L74" s="280"/>
      <c r="N74" s="1"/>
      <c r="O74" s="1"/>
      <c r="P74" s="1"/>
      <c r="Q74" s="1"/>
      <c r="R74" s="1"/>
      <c r="S74" s="1"/>
      <c r="T74" s="1"/>
    </row>
    <row r="75" spans="1:20" customFormat="1" x14ac:dyDescent="0.2">
      <c r="A75" s="281"/>
      <c r="B75" s="1"/>
      <c r="C75" s="1"/>
      <c r="D75" s="1"/>
      <c r="E75" s="1"/>
      <c r="F75" s="1"/>
      <c r="G75" s="1"/>
      <c r="H75" s="1"/>
      <c r="I75" s="1"/>
      <c r="J75" s="1"/>
      <c r="K75" s="1"/>
      <c r="L75" s="280"/>
      <c r="N75" s="1"/>
      <c r="O75" s="1"/>
      <c r="P75" s="1"/>
      <c r="Q75" s="1"/>
      <c r="R75" s="1"/>
      <c r="S75" s="1"/>
      <c r="T75" s="1"/>
    </row>
    <row r="77" spans="1:20" customFormat="1" x14ac:dyDescent="0.2">
      <c r="A77" s="372"/>
      <c r="B77" s="237"/>
      <c r="C77" s="20" t="s">
        <v>24</v>
      </c>
      <c r="D77" s="19" t="str">
        <f>I2</f>
        <v>XXXXXX</v>
      </c>
      <c r="E77" s="1"/>
      <c r="F77" s="1"/>
      <c r="G77" s="1"/>
      <c r="H77" s="1"/>
      <c r="I77" s="1"/>
      <c r="J77" s="1"/>
      <c r="K77" s="1"/>
      <c r="L77" s="280"/>
      <c r="N77" s="1"/>
      <c r="O77" s="1"/>
      <c r="P77" s="1"/>
      <c r="Q77" s="1"/>
      <c r="R77" s="1"/>
      <c r="S77" s="1"/>
      <c r="T77" s="1"/>
    </row>
    <row r="78" spans="1:20" customFormat="1" x14ac:dyDescent="0.2">
      <c r="A78" s="373"/>
      <c r="B78" s="61"/>
      <c r="C78" s="9"/>
      <c r="D78" s="239" t="str">
        <f>I1</f>
        <v>P_CASABISIRB_REQ</v>
      </c>
      <c r="E78" s="1"/>
      <c r="F78" s="1"/>
      <c r="G78" s="1"/>
      <c r="H78" s="1"/>
      <c r="I78" s="1"/>
      <c r="J78" s="1"/>
      <c r="K78" s="1"/>
      <c r="L78" s="280"/>
      <c r="N78" s="1"/>
      <c r="O78" s="1"/>
      <c r="P78" s="1"/>
      <c r="Q78" s="1"/>
      <c r="R78" s="1"/>
      <c r="S78" s="1"/>
      <c r="T78" s="1"/>
    </row>
    <row r="79" spans="1:20" customFormat="1" x14ac:dyDescent="0.2">
      <c r="A79" s="373"/>
      <c r="B79" s="61"/>
      <c r="C79" s="9"/>
      <c r="D79" s="239" t="str">
        <f>I3</f>
        <v>DD.MM.YYYY</v>
      </c>
      <c r="E79" s="1"/>
      <c r="F79" s="1"/>
      <c r="G79" s="1"/>
      <c r="H79" s="1"/>
      <c r="I79" s="1"/>
      <c r="J79" s="1"/>
      <c r="K79" s="1"/>
      <c r="L79" s="280"/>
      <c r="N79" s="1"/>
      <c r="O79" s="1"/>
      <c r="P79" s="1"/>
      <c r="Q79" s="1"/>
      <c r="R79" s="1"/>
      <c r="S79" s="1"/>
      <c r="T79" s="1"/>
    </row>
    <row r="80" spans="1:20" customFormat="1" x14ac:dyDescent="0.2">
      <c r="A80" s="373"/>
      <c r="B80" s="61"/>
      <c r="C80" s="9"/>
      <c r="D80" s="16" t="s">
        <v>1230</v>
      </c>
      <c r="E80" s="1"/>
      <c r="F80" s="1"/>
      <c r="G80" s="1"/>
      <c r="H80" s="1"/>
      <c r="I80" s="1"/>
      <c r="J80" s="1"/>
      <c r="K80" s="1"/>
      <c r="L80" s="280"/>
      <c r="N80" s="1"/>
      <c r="O80" s="1"/>
      <c r="P80" s="1"/>
      <c r="Q80" s="1"/>
      <c r="R80" s="1"/>
      <c r="S80" s="1"/>
      <c r="T80" s="1"/>
    </row>
    <row r="81" spans="1:20" customFormat="1" x14ac:dyDescent="0.2">
      <c r="A81" s="373"/>
      <c r="B81" s="61"/>
      <c r="C81" s="9"/>
      <c r="D81" s="216" t="str">
        <f>I10</f>
        <v>col. 01</v>
      </c>
      <c r="E81" s="1"/>
      <c r="F81" s="1"/>
      <c r="G81" s="1"/>
      <c r="H81" s="1"/>
      <c r="I81" s="1"/>
      <c r="J81" s="1"/>
      <c r="K81" s="1"/>
      <c r="L81" s="280"/>
      <c r="N81" s="1"/>
      <c r="O81" s="1"/>
      <c r="P81" s="1"/>
      <c r="Q81" s="1"/>
      <c r="R81" s="1"/>
      <c r="S81" s="1"/>
      <c r="T81" s="1"/>
    </row>
    <row r="82" spans="1:20" customFormat="1" x14ac:dyDescent="0.2">
      <c r="A82" s="373"/>
      <c r="B82" s="61"/>
      <c r="C82" s="9"/>
      <c r="D82" s="374">
        <f>COUNTIF(K11:L63,"ERROR")</f>
        <v>3</v>
      </c>
      <c r="E82" s="1"/>
      <c r="F82" s="1"/>
      <c r="G82" s="1"/>
      <c r="H82" s="1"/>
      <c r="I82" s="1"/>
      <c r="J82" s="1"/>
      <c r="K82" s="1"/>
      <c r="L82" s="280"/>
      <c r="N82" s="1"/>
      <c r="O82" s="1"/>
      <c r="P82" s="1"/>
      <c r="Q82" s="1"/>
      <c r="R82" s="1"/>
      <c r="S82" s="1"/>
      <c r="T82" s="1"/>
    </row>
    <row r="83" spans="1:20" customFormat="1" x14ac:dyDescent="0.2">
      <c r="A83" s="375"/>
      <c r="B83" s="212"/>
      <c r="C83" s="376"/>
      <c r="D83" s="377">
        <f>COUNTIF(K11:L63,"Warning")</f>
        <v>0</v>
      </c>
      <c r="E83" s="1"/>
      <c r="F83" s="1"/>
      <c r="G83" s="1"/>
      <c r="H83" s="1"/>
      <c r="I83" s="1"/>
      <c r="J83" s="1"/>
      <c r="K83" s="1"/>
      <c r="L83" s="280"/>
      <c r="N83" s="1"/>
      <c r="O83" s="1"/>
      <c r="P83" s="1"/>
      <c r="Q83" s="1"/>
      <c r="R83" s="1"/>
      <c r="S83" s="1"/>
      <c r="T83" s="1"/>
    </row>
    <row r="84" spans="1:20" customFormat="1" x14ac:dyDescent="0.2">
      <c r="A84" s="281"/>
      <c r="B84" s="242"/>
      <c r="C84" s="8"/>
      <c r="D84" s="9"/>
      <c r="E84" s="1"/>
      <c r="F84" s="1"/>
      <c r="G84" s="1"/>
      <c r="H84" s="1"/>
      <c r="I84" s="1"/>
      <c r="J84" s="1"/>
      <c r="K84" s="1"/>
      <c r="L84" s="280"/>
      <c r="N84" s="1"/>
      <c r="O84" s="1"/>
      <c r="P84" s="1"/>
      <c r="Q84" s="1"/>
      <c r="R84" s="1"/>
      <c r="S84" s="1"/>
      <c r="T84" s="1"/>
    </row>
  </sheetData>
  <mergeCells count="59">
    <mergeCell ref="B69:G69"/>
    <mergeCell ref="B64:G64"/>
    <mergeCell ref="B65:G65"/>
    <mergeCell ref="B66:G66"/>
    <mergeCell ref="B67:G67"/>
    <mergeCell ref="B68:G68"/>
    <mergeCell ref="B63:G63"/>
    <mergeCell ref="B52:G52"/>
    <mergeCell ref="B53:G53"/>
    <mergeCell ref="B54:G54"/>
    <mergeCell ref="B55:G55"/>
    <mergeCell ref="B56:G56"/>
    <mergeCell ref="B57:G57"/>
    <mergeCell ref="B58:G58"/>
    <mergeCell ref="B59:G59"/>
    <mergeCell ref="B60:G60"/>
    <mergeCell ref="B61:G61"/>
    <mergeCell ref="B62:G62"/>
    <mergeCell ref="B51:G51"/>
    <mergeCell ref="B40:G40"/>
    <mergeCell ref="B41:G41"/>
    <mergeCell ref="B42:G42"/>
    <mergeCell ref="B43:G43"/>
    <mergeCell ref="B44:G44"/>
    <mergeCell ref="B45:G45"/>
    <mergeCell ref="B46:G46"/>
    <mergeCell ref="B47:G47"/>
    <mergeCell ref="B48:G48"/>
    <mergeCell ref="B49:G49"/>
    <mergeCell ref="B50:G50"/>
    <mergeCell ref="B39:G39"/>
    <mergeCell ref="B28:G28"/>
    <mergeCell ref="B29:G29"/>
    <mergeCell ref="B30:G30"/>
    <mergeCell ref="B31:G31"/>
    <mergeCell ref="B32:G32"/>
    <mergeCell ref="B33:G33"/>
    <mergeCell ref="B34:G34"/>
    <mergeCell ref="B35:G35"/>
    <mergeCell ref="B36:G36"/>
    <mergeCell ref="B37:G37"/>
    <mergeCell ref="B38:G38"/>
    <mergeCell ref="B27:G27"/>
    <mergeCell ref="B17:G17"/>
    <mergeCell ref="B18:G18"/>
    <mergeCell ref="B19:G19"/>
    <mergeCell ref="B20:G20"/>
    <mergeCell ref="B21:G21"/>
    <mergeCell ref="B22:G22"/>
    <mergeCell ref="B23:G23"/>
    <mergeCell ref="B24:G24"/>
    <mergeCell ref="B25:G25"/>
    <mergeCell ref="B26:G26"/>
    <mergeCell ref="B16:G16"/>
    <mergeCell ref="B12:G12"/>
    <mergeCell ref="O12:P12"/>
    <mergeCell ref="B13:G13"/>
    <mergeCell ref="B14:G14"/>
    <mergeCell ref="B15:G15"/>
  </mergeCells>
  <dataValidations disablePrompts="1" count="1">
    <dataValidation type="decimal" operator="notEqual" allowBlank="1" showInputMessage="1" showErrorMessage="1" errorTitle="Zahl" error="Hier ist nur ein Zahlenwert erlaubt" sqref="G70 H69:H70" xr:uid="{00000000-0002-0000-0800-000000000000}">
      <formula1>9.99999999999999</formula1>
    </dataValidation>
  </dataValidations>
  <pageMargins left="0.59055118110236227" right="0.59055118110236227" top="0.78740157480314965" bottom="0.39370078740157483" header="0.31496062992125984" footer="0.31496062992125984"/>
  <pageSetup paperSize="9" scale="52" fitToHeight="3" pageOrder="overThenDown" orientation="portrait" r:id="rId1"/>
  <headerFooter alignWithMargins="0">
    <oddFooter>&amp;L&amp;"Arial,Fett"SNB Confidential&amp;C&amp;D&amp;RPage &amp;P</oddFooter>
  </headerFooter>
  <rowBreaks count="1" manualBreakCount="1">
    <brk id="11" max="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tabColor rgb="FFFF0000"/>
  </sheetPr>
  <dimension ref="A1:T112"/>
  <sheetViews>
    <sheetView zoomScale="90" zoomScaleNormal="90" workbookViewId="0">
      <selection activeCell="O18" sqref="O18"/>
    </sheetView>
  </sheetViews>
  <sheetFormatPr defaultColWidth="13.42578125" defaultRowHeight="12.75" x14ac:dyDescent="0.2"/>
  <cols>
    <col min="1" max="1" width="13" style="278" customWidth="1"/>
    <col min="2" max="2" width="32.5703125" style="1" customWidth="1"/>
    <col min="3" max="3" width="13.42578125" style="1" customWidth="1"/>
    <col min="4" max="4" width="15.5703125" style="1" customWidth="1"/>
    <col min="5" max="5" width="10.5703125" style="1" customWidth="1"/>
    <col min="6" max="6" width="15.5703125" style="1" customWidth="1"/>
    <col min="7" max="7" width="35" style="1" customWidth="1"/>
    <col min="8" max="8" width="1.5703125" style="1" customWidth="1"/>
    <col min="9" max="9" width="25.42578125" style="1" customWidth="1"/>
    <col min="10" max="10" width="5.42578125" style="1" bestFit="1" customWidth="1"/>
    <col min="11" max="11" width="13" style="332" customWidth="1"/>
    <col min="12" max="12" width="13.42578125" style="1330"/>
    <col min="13" max="13" width="4.5703125" style="1482" customWidth="1"/>
    <col min="14" max="14" width="13.42578125" style="332"/>
    <col min="15" max="21" width="10" style="332" customWidth="1"/>
    <col min="22" max="16384" width="13.42578125" style="332"/>
  </cols>
  <sheetData>
    <row r="1" spans="1:15" s="332" customFormat="1" ht="25.35" customHeight="1" x14ac:dyDescent="0.2">
      <c r="A1" s="278"/>
      <c r="B1" s="1"/>
      <c r="C1" s="1"/>
      <c r="D1" s="1"/>
      <c r="E1" s="1"/>
      <c r="F1" s="1"/>
      <c r="G1" s="1"/>
      <c r="H1" s="101" t="s">
        <v>100</v>
      </c>
      <c r="I1" s="378" t="s">
        <v>1240</v>
      </c>
      <c r="J1" s="1"/>
      <c r="L1" s="1330"/>
      <c r="M1" s="1482"/>
    </row>
    <row r="2" spans="1:15" s="332" customFormat="1" ht="25.35" customHeight="1" x14ac:dyDescent="0.2">
      <c r="A2" s="281"/>
      <c r="B2" s="9"/>
      <c r="C2" s="1"/>
      <c r="D2" s="1"/>
      <c r="E2" s="1"/>
      <c r="F2" s="1"/>
      <c r="G2" s="1"/>
      <c r="H2" s="101" t="s">
        <v>98</v>
      </c>
      <c r="I2" s="203" t="s">
        <v>119</v>
      </c>
      <c r="J2" s="1"/>
      <c r="L2" s="1330"/>
      <c r="M2" s="1482"/>
    </row>
    <row r="3" spans="1:15" s="332" customFormat="1" ht="25.35" customHeight="1" x14ac:dyDescent="0.2">
      <c r="A3" s="278"/>
      <c r="B3" s="1"/>
      <c r="C3" s="1"/>
      <c r="D3" s="1"/>
      <c r="E3" s="1"/>
      <c r="F3" s="1"/>
      <c r="G3" s="1"/>
      <c r="H3" s="101" t="s">
        <v>96</v>
      </c>
      <c r="I3" s="201" t="s">
        <v>121</v>
      </c>
      <c r="J3" s="1"/>
      <c r="L3" s="1330"/>
      <c r="M3" s="1482"/>
    </row>
    <row r="4" spans="1:15" s="332" customFormat="1" ht="18" x14ac:dyDescent="0.25">
      <c r="A4" s="281"/>
      <c r="B4" s="1"/>
      <c r="C4" s="200"/>
      <c r="D4" s="204" t="s">
        <v>1241</v>
      </c>
      <c r="E4" s="1"/>
      <c r="F4" s="1"/>
      <c r="G4" s="1"/>
      <c r="H4" s="1"/>
      <c r="I4" s="1"/>
      <c r="J4" s="1"/>
      <c r="L4" s="1330"/>
      <c r="M4" s="1482"/>
    </row>
    <row r="5" spans="1:15" s="332" customFormat="1" ht="18" x14ac:dyDescent="0.25">
      <c r="A5" s="282"/>
      <c r="B5" s="1" t="s">
        <v>349</v>
      </c>
      <c r="C5" s="198"/>
      <c r="D5" s="104" t="s">
        <v>99</v>
      </c>
      <c r="E5" s="1"/>
      <c r="F5" s="1"/>
      <c r="G5" s="1"/>
      <c r="H5" s="1"/>
      <c r="I5" s="1"/>
      <c r="J5" s="1"/>
      <c r="L5" s="1330"/>
      <c r="M5" s="1482"/>
    </row>
    <row r="6" spans="1:15" s="332" customFormat="1" ht="20.100000000000001" customHeight="1" x14ac:dyDescent="0.2">
      <c r="A6" s="283"/>
      <c r="B6" s="1" t="s">
        <v>350</v>
      </c>
      <c r="C6" s="1"/>
      <c r="D6" s="1" t="s">
        <v>351</v>
      </c>
      <c r="E6" s="1"/>
      <c r="F6" s="1"/>
      <c r="G6" s="207"/>
      <c r="H6" s="207"/>
      <c r="I6" s="207"/>
      <c r="J6" s="1"/>
      <c r="L6" s="1330"/>
      <c r="M6" s="1482"/>
    </row>
    <row r="7" spans="1:15" s="332" customFormat="1" x14ac:dyDescent="0.2">
      <c r="A7" s="283"/>
      <c r="B7" s="1" t="s">
        <v>352</v>
      </c>
      <c r="C7" s="1"/>
      <c r="D7" s="1"/>
      <c r="E7" s="1"/>
      <c r="F7" s="1"/>
      <c r="G7" s="207"/>
      <c r="H7" s="207"/>
      <c r="I7" s="1"/>
      <c r="J7" s="1"/>
      <c r="L7" s="1330"/>
      <c r="M7" s="1482"/>
    </row>
    <row r="8" spans="1:15" s="332" customFormat="1" ht="16.350000000000001" customHeight="1" x14ac:dyDescent="0.2">
      <c r="A8" s="284"/>
      <c r="B8" s="205"/>
      <c r="C8" s="196"/>
      <c r="D8" s="1"/>
      <c r="E8" s="1"/>
      <c r="F8" s="1"/>
      <c r="G8" s="1"/>
      <c r="H8" s="1"/>
      <c r="I8" s="1"/>
      <c r="J8" s="12"/>
      <c r="K8" s="260"/>
      <c r="L8" s="1340"/>
      <c r="M8" s="1482"/>
    </row>
    <row r="9" spans="1:15" s="332" customFormat="1" ht="22.5" customHeight="1" x14ac:dyDescent="0.2">
      <c r="A9" s="286"/>
      <c r="B9" s="215"/>
      <c r="C9" s="194"/>
      <c r="D9" s="215"/>
      <c r="E9" s="215"/>
      <c r="F9" s="215"/>
      <c r="G9" s="215"/>
      <c r="H9" s="209"/>
      <c r="I9" s="287" t="s">
        <v>353</v>
      </c>
      <c r="J9" s="88"/>
      <c r="K9" s="334"/>
      <c r="L9" s="1481" t="s">
        <v>354</v>
      </c>
      <c r="M9" s="1482"/>
    </row>
    <row r="10" spans="1:15" s="332" customFormat="1" ht="29.1" customHeight="1" x14ac:dyDescent="0.2">
      <c r="A10" s="288"/>
      <c r="B10" s="12"/>
      <c r="C10" s="12"/>
      <c r="D10" s="12"/>
      <c r="E10" s="12"/>
      <c r="F10" s="12"/>
      <c r="G10" s="212"/>
      <c r="H10" s="213"/>
      <c r="I10" s="59" t="s">
        <v>22</v>
      </c>
      <c r="J10" s="58"/>
      <c r="K10" s="1342"/>
      <c r="L10" s="1340"/>
      <c r="M10" s="1482"/>
    </row>
    <row r="11" spans="1:15" s="332" customFormat="1" ht="7.5" customHeight="1" x14ac:dyDescent="0.2">
      <c r="A11" s="281"/>
      <c r="B11" s="1"/>
      <c r="C11" s="1"/>
      <c r="D11" s="1"/>
      <c r="E11" s="1"/>
      <c r="F11" s="1"/>
      <c r="G11" s="215"/>
      <c r="H11" s="216"/>
      <c r="I11" s="217"/>
      <c r="J11" s="31"/>
      <c r="K11" s="334"/>
      <c r="L11" s="1340"/>
      <c r="M11" s="1482"/>
    </row>
    <row r="12" spans="1:15" s="332" customFormat="1" ht="42.75" customHeight="1" x14ac:dyDescent="0.25">
      <c r="A12" s="941" t="s">
        <v>963</v>
      </c>
      <c r="B12" s="1652" t="s">
        <v>1737</v>
      </c>
      <c r="C12" s="1652"/>
      <c r="D12" s="1652"/>
      <c r="E12" s="1652"/>
      <c r="F12" s="1652"/>
      <c r="G12" s="1652"/>
      <c r="H12" s="942"/>
      <c r="I12" s="943"/>
      <c r="J12" s="944"/>
      <c r="K12" s="334"/>
      <c r="L12" s="1340"/>
      <c r="M12" s="1482"/>
    </row>
    <row r="13" spans="1:15" s="1346" customFormat="1" ht="41.25" customHeight="1" x14ac:dyDescent="0.25">
      <c r="A13" s="945" t="s">
        <v>965</v>
      </c>
      <c r="B13" s="1653" t="s">
        <v>966</v>
      </c>
      <c r="C13" s="1654"/>
      <c r="D13" s="1654"/>
      <c r="E13" s="1654"/>
      <c r="F13" s="1654"/>
      <c r="G13" s="1654"/>
      <c r="H13" s="946"/>
      <c r="I13" s="943"/>
      <c r="J13" s="944"/>
      <c r="K13" s="1482"/>
      <c r="L13" s="1340"/>
      <c r="M13" s="1482"/>
      <c r="N13" s="332"/>
      <c r="O13" s="332"/>
    </row>
    <row r="14" spans="1:15" s="332" customFormat="1" ht="21.6" customHeight="1" x14ac:dyDescent="0.2">
      <c r="A14" s="947" t="s">
        <v>967</v>
      </c>
      <c r="B14" s="1651" t="s">
        <v>968</v>
      </c>
      <c r="C14" s="1651"/>
      <c r="D14" s="1651"/>
      <c r="E14" s="1651"/>
      <c r="F14" s="1651"/>
      <c r="G14" s="1651"/>
      <c r="H14" s="942"/>
      <c r="I14" s="948">
        <f>P_CASABISIRB_CAP.MELD!I159</f>
        <v>50000000</v>
      </c>
      <c r="J14" s="949"/>
      <c r="K14" s="334"/>
      <c r="L14" s="1340"/>
      <c r="M14" s="1482"/>
    </row>
    <row r="15" spans="1:15" s="332" customFormat="1" ht="21.6" customHeight="1" x14ac:dyDescent="0.2">
      <c r="A15" s="947" t="s">
        <v>969</v>
      </c>
      <c r="B15" s="1651" t="s">
        <v>970</v>
      </c>
      <c r="C15" s="1651"/>
      <c r="D15" s="1651"/>
      <c r="E15" s="1651"/>
      <c r="F15" s="1651"/>
      <c r="G15" s="1651"/>
      <c r="H15" s="942"/>
      <c r="I15" s="950">
        <f>I14/I$31</f>
        <v>1.2905904614298087E-2</v>
      </c>
      <c r="J15" s="949"/>
      <c r="K15" s="334"/>
      <c r="L15" s="1340"/>
      <c r="M15" s="1482"/>
    </row>
    <row r="16" spans="1:15" s="332" customFormat="1" ht="21.6" customHeight="1" x14ac:dyDescent="0.2">
      <c r="A16" s="947" t="s">
        <v>971</v>
      </c>
      <c r="B16" s="1651" t="s">
        <v>972</v>
      </c>
      <c r="C16" s="1651"/>
      <c r="D16" s="1651"/>
      <c r="E16" s="1651"/>
      <c r="F16" s="1651"/>
      <c r="G16" s="1651"/>
      <c r="H16" s="942"/>
      <c r="I16" s="948">
        <f>P_CASABISIRB_CAP.MELD!I161</f>
        <v>10000000</v>
      </c>
      <c r="J16" s="949"/>
      <c r="K16" s="334"/>
      <c r="L16" s="1340"/>
      <c r="M16" s="1482"/>
    </row>
    <row r="17" spans="1:20" s="332" customFormat="1" ht="21.6" customHeight="1" x14ac:dyDescent="0.2">
      <c r="A17" s="947" t="s">
        <v>973</v>
      </c>
      <c r="B17" s="1651" t="s">
        <v>974</v>
      </c>
      <c r="C17" s="1651"/>
      <c r="D17" s="1651"/>
      <c r="E17" s="1651"/>
      <c r="F17" s="1651"/>
      <c r="G17" s="1651"/>
      <c r="H17" s="942"/>
      <c r="I17" s="950">
        <f>I16/I$31</f>
        <v>2.5811809228596175E-3</v>
      </c>
      <c r="J17" s="949"/>
      <c r="K17" s="334"/>
      <c r="L17" s="1340"/>
      <c r="M17" s="1482"/>
    </row>
    <row r="18" spans="1:20" s="332" customFormat="1" ht="21.6" customHeight="1" x14ac:dyDescent="0.2">
      <c r="A18" s="947" t="s">
        <v>969</v>
      </c>
      <c r="B18" s="1651" t="s">
        <v>975</v>
      </c>
      <c r="C18" s="1651"/>
      <c r="D18" s="1651"/>
      <c r="E18" s="1651"/>
      <c r="F18" s="1651"/>
      <c r="G18" s="1651"/>
      <c r="H18" s="942"/>
      <c r="I18" s="948">
        <f>P_CASABISIRB_CAP.MELD!I162</f>
        <v>60000000</v>
      </c>
      <c r="J18" s="949"/>
      <c r="K18" s="334"/>
      <c r="L18" s="1340"/>
      <c r="M18" s="1482"/>
    </row>
    <row r="19" spans="1:20" s="332" customFormat="1" ht="21.6" customHeight="1" x14ac:dyDescent="0.2">
      <c r="A19" s="947" t="s">
        <v>971</v>
      </c>
      <c r="B19" s="1651" t="s">
        <v>976</v>
      </c>
      <c r="C19" s="1651"/>
      <c r="D19" s="1651"/>
      <c r="E19" s="1651"/>
      <c r="F19" s="1651"/>
      <c r="G19" s="1651"/>
      <c r="H19" s="942"/>
      <c r="I19" s="950">
        <f>I18/I$31</f>
        <v>1.5487085537157705E-2</v>
      </c>
      <c r="J19" s="949"/>
      <c r="K19" s="334"/>
      <c r="L19" s="1340"/>
      <c r="M19" s="1482"/>
    </row>
    <row r="20" spans="1:20" s="332" customFormat="1" ht="21.6" customHeight="1" x14ac:dyDescent="0.2">
      <c r="A20" s="947" t="s">
        <v>1242</v>
      </c>
      <c r="B20" s="1651" t="s">
        <v>1243</v>
      </c>
      <c r="C20" s="1651"/>
      <c r="D20" s="1651"/>
      <c r="E20" s="1651"/>
      <c r="F20" s="1651"/>
      <c r="G20" s="1651"/>
      <c r="H20" s="942"/>
      <c r="I20" s="950">
        <f>I18/P_CASABISIRB_RWALRD.MELD!I94</f>
        <v>7.407407407407407E-2</v>
      </c>
      <c r="J20" s="949"/>
      <c r="K20" s="334"/>
      <c r="L20" s="1340"/>
      <c r="M20" s="1482"/>
    </row>
    <row r="21" spans="1:20" s="332" customFormat="1" ht="21.6" customHeight="1" x14ac:dyDescent="0.2">
      <c r="A21" s="947" t="s">
        <v>973</v>
      </c>
      <c r="B21" s="1651" t="s">
        <v>977</v>
      </c>
      <c r="C21" s="1651"/>
      <c r="D21" s="1651"/>
      <c r="E21" s="1651"/>
      <c r="F21" s="1651"/>
      <c r="G21" s="1651"/>
      <c r="H21" s="942"/>
      <c r="I21" s="948">
        <f>P_CASABISIRB_CAP.MELD!I164</f>
        <v>5000000</v>
      </c>
      <c r="J21" s="949"/>
      <c r="K21" s="334"/>
      <c r="L21" s="1340"/>
      <c r="M21" s="1482"/>
    </row>
    <row r="22" spans="1:20" s="332" customFormat="1" ht="21.6" customHeight="1" x14ac:dyDescent="0.2">
      <c r="A22" s="947" t="s">
        <v>978</v>
      </c>
      <c r="B22" s="1651" t="s">
        <v>979</v>
      </c>
      <c r="C22" s="1651"/>
      <c r="D22" s="1651"/>
      <c r="E22" s="1651"/>
      <c r="F22" s="1651"/>
      <c r="G22" s="1651"/>
      <c r="H22" s="942"/>
      <c r="I22" s="950">
        <f>I21/I$31</f>
        <v>1.2905904614298087E-3</v>
      </c>
      <c r="J22" s="949"/>
      <c r="K22" s="334"/>
      <c r="L22" s="1340"/>
      <c r="M22" s="1482"/>
    </row>
    <row r="23" spans="1:20" s="332" customFormat="1" ht="21.6" customHeight="1" x14ac:dyDescent="0.2">
      <c r="A23" s="947" t="s">
        <v>980</v>
      </c>
      <c r="B23" s="1651" t="s">
        <v>981</v>
      </c>
      <c r="C23" s="1651"/>
      <c r="D23" s="1651"/>
      <c r="E23" s="1651"/>
      <c r="F23" s="1651"/>
      <c r="G23" s="1651"/>
      <c r="H23" s="942"/>
      <c r="I23" s="948">
        <f>P_CASABISIRB_CAP.MELD!I165</f>
        <v>65000000</v>
      </c>
      <c r="J23" s="949"/>
      <c r="K23" s="334"/>
      <c r="L23" s="1340"/>
      <c r="M23" s="1482"/>
    </row>
    <row r="24" spans="1:20" s="332" customFormat="1" ht="21.6" customHeight="1" x14ac:dyDescent="0.2">
      <c r="A24" s="947" t="s">
        <v>982</v>
      </c>
      <c r="B24" s="1651" t="s">
        <v>983</v>
      </c>
      <c r="C24" s="1651"/>
      <c r="D24" s="1651"/>
      <c r="E24" s="1651"/>
      <c r="F24" s="1651"/>
      <c r="G24" s="1651"/>
      <c r="H24" s="942"/>
      <c r="I24" s="950">
        <f>I23/I$31</f>
        <v>1.6777675998587514E-2</v>
      </c>
      <c r="J24" s="949"/>
      <c r="K24" s="334"/>
      <c r="L24" s="1340"/>
      <c r="M24" s="1482"/>
    </row>
    <row r="25" spans="1:20" s="332" customFormat="1" ht="41.25" customHeight="1" x14ac:dyDescent="0.25">
      <c r="A25" s="945" t="s">
        <v>984</v>
      </c>
      <c r="B25" s="1655" t="s">
        <v>1738</v>
      </c>
      <c r="C25" s="1656"/>
      <c r="D25" s="1656"/>
      <c r="E25" s="1656"/>
      <c r="F25" s="1656"/>
      <c r="G25" s="1656"/>
      <c r="H25" s="942"/>
      <c r="I25" s="948">
        <f>P_CASABISIRB_RWALRD.MELD!I12</f>
        <v>309935655</v>
      </c>
      <c r="J25" s="949"/>
      <c r="K25" s="334"/>
      <c r="L25" s="1340"/>
      <c r="M25" s="1482"/>
    </row>
    <row r="26" spans="1:20" s="1482" customFormat="1" ht="21.6" customHeight="1" x14ac:dyDescent="0.2">
      <c r="A26" s="951" t="s">
        <v>986</v>
      </c>
      <c r="B26" s="1651" t="s">
        <v>987</v>
      </c>
      <c r="C26" s="1651"/>
      <c r="D26" s="1651"/>
      <c r="E26" s="1651"/>
      <c r="F26" s="1651"/>
      <c r="G26" s="1651"/>
      <c r="H26" s="942"/>
      <c r="I26" s="948">
        <f>P_CASABISIRB_RWALRD.MELD!I13</f>
        <v>33737500</v>
      </c>
      <c r="J26" s="949"/>
      <c r="K26" s="334"/>
      <c r="L26" s="1340"/>
      <c r="N26" s="332"/>
      <c r="O26" s="332"/>
      <c r="P26" s="332"/>
      <c r="Q26" s="332"/>
      <c r="R26" s="332"/>
      <c r="S26" s="332"/>
      <c r="T26" s="332"/>
    </row>
    <row r="27" spans="1:20" s="1482" customFormat="1" ht="21.6" customHeight="1" x14ac:dyDescent="0.2">
      <c r="A27" s="951" t="s">
        <v>990</v>
      </c>
      <c r="B27" s="1651" t="s">
        <v>991</v>
      </c>
      <c r="C27" s="1651"/>
      <c r="D27" s="1651"/>
      <c r="E27" s="1651"/>
      <c r="F27" s="1651"/>
      <c r="G27" s="1651"/>
      <c r="H27" s="942"/>
      <c r="I27" s="948">
        <f>P_CASABISIRB_RWALRD.MELD!I79</f>
        <v>276198155</v>
      </c>
      <c r="J27" s="949"/>
      <c r="K27" s="334"/>
      <c r="L27" s="1340"/>
      <c r="N27" s="332"/>
      <c r="O27" s="332"/>
      <c r="P27" s="332"/>
      <c r="Q27" s="332"/>
      <c r="R27" s="332"/>
      <c r="S27" s="332"/>
      <c r="T27" s="332"/>
    </row>
    <row r="28" spans="1:20" s="1482" customFormat="1" ht="21.6" customHeight="1" x14ac:dyDescent="0.2">
      <c r="A28" s="951" t="s">
        <v>992</v>
      </c>
      <c r="B28" s="1651" t="s">
        <v>993</v>
      </c>
      <c r="C28" s="1651"/>
      <c r="D28" s="1651"/>
      <c r="E28" s="1651"/>
      <c r="F28" s="1651"/>
      <c r="G28" s="1651"/>
      <c r="H28" s="942"/>
      <c r="I28" s="948">
        <f>P_CASABISIRB_RWALRD.MELD!I83</f>
        <v>0</v>
      </c>
      <c r="J28" s="949"/>
      <c r="K28" s="334"/>
      <c r="L28" s="1340"/>
      <c r="N28" s="332"/>
      <c r="O28" s="332"/>
      <c r="P28" s="332"/>
      <c r="Q28" s="332"/>
      <c r="R28" s="332"/>
      <c r="S28" s="332"/>
      <c r="T28" s="332"/>
    </row>
    <row r="29" spans="1:20" s="1482" customFormat="1" ht="21.6" customHeight="1" x14ac:dyDescent="0.2">
      <c r="A29" s="951" t="s">
        <v>994</v>
      </c>
      <c r="B29" s="1651" t="s">
        <v>995</v>
      </c>
      <c r="C29" s="1651"/>
      <c r="D29" s="1651"/>
      <c r="E29" s="1651"/>
      <c r="F29" s="1651"/>
      <c r="G29" s="1651"/>
      <c r="H29" s="942"/>
      <c r="I29" s="948">
        <f>P_CASABISIRB_RWALRD.MELD!I37</f>
        <v>0</v>
      </c>
      <c r="J29" s="949"/>
      <c r="K29" s="334"/>
      <c r="L29" s="1340"/>
      <c r="N29" s="332"/>
      <c r="O29" s="332"/>
      <c r="P29" s="332"/>
      <c r="Q29" s="332"/>
      <c r="R29" s="332"/>
      <c r="S29" s="332"/>
      <c r="T29" s="332"/>
    </row>
    <row r="30" spans="1:20" s="1482" customFormat="1" ht="21.6" customHeight="1" x14ac:dyDescent="0.2">
      <c r="A30" s="951" t="s">
        <v>241</v>
      </c>
      <c r="B30" s="1651" t="s">
        <v>1707</v>
      </c>
      <c r="C30" s="1651"/>
      <c r="D30" s="1651"/>
      <c r="E30" s="1651"/>
      <c r="F30" s="1651"/>
      <c r="G30" s="1651"/>
      <c r="H30" s="942"/>
      <c r="I30" s="948">
        <f>P_CASABISIRB_RWALRD.MELD!I90+P_CASABISIRB_RWALRD.MELD!I91</f>
        <v>0</v>
      </c>
      <c r="J30" s="949"/>
      <c r="K30" s="334"/>
      <c r="L30" s="1340"/>
      <c r="N30" s="332"/>
      <c r="O30" s="332"/>
      <c r="P30" s="332"/>
      <c r="Q30" s="332"/>
      <c r="R30" s="332"/>
      <c r="S30" s="332"/>
      <c r="T30" s="332"/>
    </row>
    <row r="31" spans="1:20" s="1482" customFormat="1" ht="21.6" customHeight="1" x14ac:dyDescent="0.2">
      <c r="A31" s="951" t="s">
        <v>1000</v>
      </c>
      <c r="B31" s="1651" t="s">
        <v>1001</v>
      </c>
      <c r="C31" s="1651"/>
      <c r="D31" s="1651"/>
      <c r="E31" s="1651"/>
      <c r="F31" s="1651"/>
      <c r="G31" s="1651"/>
      <c r="H31" s="942"/>
      <c r="I31" s="948">
        <f>12.5*I25</f>
        <v>3874195687.5</v>
      </c>
      <c r="J31" s="949"/>
      <c r="K31" s="334"/>
      <c r="L31" s="1340"/>
      <c r="N31" s="332"/>
      <c r="O31" s="332"/>
      <c r="P31" s="332"/>
      <c r="Q31" s="332"/>
      <c r="R31" s="332"/>
      <c r="S31" s="332"/>
      <c r="T31" s="332"/>
    </row>
    <row r="32" spans="1:20" s="1482" customFormat="1" ht="41.25" customHeight="1" x14ac:dyDescent="0.25">
      <c r="A32" s="945" t="s">
        <v>1242</v>
      </c>
      <c r="B32" s="1659" t="s">
        <v>1239</v>
      </c>
      <c r="C32" s="1660"/>
      <c r="D32" s="1660"/>
      <c r="E32" s="1660"/>
      <c r="F32" s="1660"/>
      <c r="G32" s="1660"/>
      <c r="H32" s="942"/>
      <c r="I32" s="948">
        <f>P_CASABISIRB_REQ.MELD!I65</f>
        <v>24300000</v>
      </c>
      <c r="J32" s="949"/>
      <c r="K32" s="260"/>
      <c r="L32" s="1340"/>
      <c r="N32" s="332"/>
      <c r="O32" s="332"/>
      <c r="P32" s="332"/>
      <c r="Q32" s="332"/>
      <c r="R32" s="332"/>
      <c r="S32" s="332"/>
      <c r="T32" s="332"/>
    </row>
    <row r="33" spans="1:20" s="1482" customFormat="1" ht="41.25" customHeight="1" x14ac:dyDescent="0.25">
      <c r="A33" s="945" t="s">
        <v>1002</v>
      </c>
      <c r="B33" s="1657" t="s">
        <v>1739</v>
      </c>
      <c r="C33" s="1657"/>
      <c r="D33" s="1657"/>
      <c r="E33" s="1657"/>
      <c r="F33" s="1657"/>
      <c r="G33" s="1657"/>
      <c r="H33" s="942"/>
      <c r="I33" s="952"/>
      <c r="J33" s="944"/>
      <c r="L33" s="1340"/>
      <c r="N33" s="332"/>
      <c r="O33" s="332"/>
      <c r="P33" s="332"/>
      <c r="Q33" s="332"/>
      <c r="R33" s="332"/>
      <c r="S33" s="332"/>
      <c r="T33" s="332"/>
    </row>
    <row r="34" spans="1:20" s="1482" customFormat="1" ht="21.6" customHeight="1" x14ac:dyDescent="0.2">
      <c r="A34" s="947" t="s">
        <v>1004</v>
      </c>
      <c r="B34" s="1651" t="s">
        <v>1005</v>
      </c>
      <c r="C34" s="1651"/>
      <c r="D34" s="1651"/>
      <c r="E34" s="1651"/>
      <c r="F34" s="1651"/>
      <c r="G34" s="1651"/>
      <c r="H34" s="942"/>
      <c r="I34" s="948">
        <f>I14-4.5%*I31</f>
        <v>-124338805.9375</v>
      </c>
      <c r="J34" s="949"/>
      <c r="K34" s="334"/>
      <c r="L34" s="1340"/>
      <c r="N34" s="332"/>
      <c r="O34" s="332"/>
      <c r="P34" s="332"/>
      <c r="Q34" s="332"/>
      <c r="R34" s="332"/>
      <c r="S34" s="332"/>
      <c r="T34" s="332"/>
    </row>
    <row r="35" spans="1:20" s="1482" customFormat="1" ht="21.6" customHeight="1" x14ac:dyDescent="0.2">
      <c r="A35" s="947" t="s">
        <v>1006</v>
      </c>
      <c r="B35" s="1651" t="s">
        <v>1007</v>
      </c>
      <c r="C35" s="1651"/>
      <c r="D35" s="1651"/>
      <c r="E35" s="1651"/>
      <c r="F35" s="1651"/>
      <c r="G35" s="1651"/>
      <c r="H35" s="942"/>
      <c r="I35" s="948">
        <f>I18-6%*I31</f>
        <v>-172451741.25</v>
      </c>
      <c r="J35" s="949"/>
      <c r="K35" s="334"/>
      <c r="L35" s="1340"/>
      <c r="N35" s="332"/>
      <c r="O35" s="332"/>
      <c r="P35" s="332"/>
      <c r="Q35" s="332"/>
      <c r="R35" s="332"/>
      <c r="S35" s="332"/>
      <c r="T35" s="332"/>
    </row>
    <row r="36" spans="1:20" s="1482" customFormat="1" ht="21.6" customHeight="1" x14ac:dyDescent="0.2">
      <c r="A36" s="947" t="s">
        <v>1008</v>
      </c>
      <c r="B36" s="1651" t="s">
        <v>1009</v>
      </c>
      <c r="C36" s="1651"/>
      <c r="D36" s="1651"/>
      <c r="E36" s="1651"/>
      <c r="F36" s="1651"/>
      <c r="G36" s="1651"/>
      <c r="H36" s="942"/>
      <c r="I36" s="948">
        <f>I23-8%*I31</f>
        <v>-244935655</v>
      </c>
      <c r="J36" s="949"/>
      <c r="K36" s="334"/>
      <c r="L36" s="1340"/>
      <c r="N36" s="332"/>
      <c r="O36" s="332"/>
      <c r="P36" s="332"/>
      <c r="Q36" s="332"/>
      <c r="R36" s="332"/>
      <c r="S36" s="332"/>
      <c r="T36" s="332"/>
    </row>
    <row r="37" spans="1:20" s="1482" customFormat="1" ht="21.6" customHeight="1" x14ac:dyDescent="0.25">
      <c r="A37" s="945" t="s">
        <v>1242</v>
      </c>
      <c r="B37" s="1657" t="s">
        <v>1244</v>
      </c>
      <c r="C37" s="1658"/>
      <c r="D37" s="1658"/>
      <c r="E37" s="1658"/>
      <c r="F37" s="1658"/>
      <c r="G37" s="1658"/>
      <c r="H37" s="942"/>
      <c r="I37" s="952"/>
      <c r="J37" s="949"/>
      <c r="K37" s="334"/>
      <c r="L37" s="1340"/>
      <c r="N37" s="332"/>
      <c r="O37" s="332"/>
      <c r="P37" s="332"/>
      <c r="Q37" s="332"/>
      <c r="R37" s="332"/>
      <c r="S37" s="332"/>
      <c r="T37" s="332"/>
    </row>
    <row r="38" spans="1:20" s="1482" customFormat="1" ht="21.6" customHeight="1" x14ac:dyDescent="0.2">
      <c r="A38" s="947" t="s">
        <v>1242</v>
      </c>
      <c r="B38" s="1651" t="s">
        <v>1007</v>
      </c>
      <c r="C38" s="1651"/>
      <c r="D38" s="1651"/>
      <c r="E38" s="1651"/>
      <c r="F38" s="1651"/>
      <c r="G38" s="1651"/>
      <c r="H38" s="942"/>
      <c r="I38" s="948">
        <f>I18-3%*P_CASABISIRB_RWALRD.MELD!I94</f>
        <v>35700000</v>
      </c>
      <c r="J38" s="949"/>
      <c r="K38" s="334"/>
      <c r="L38" s="1340"/>
      <c r="N38" s="332"/>
      <c r="O38" s="332"/>
      <c r="P38" s="332"/>
      <c r="Q38" s="332"/>
      <c r="R38" s="332"/>
      <c r="S38" s="332"/>
      <c r="T38" s="332"/>
    </row>
    <row r="39" spans="1:20" s="1482" customFormat="1" ht="41.25" customHeight="1" x14ac:dyDescent="0.25">
      <c r="A39" s="945" t="s">
        <v>1010</v>
      </c>
      <c r="B39" s="1657" t="s">
        <v>1740</v>
      </c>
      <c r="C39" s="1658"/>
      <c r="D39" s="1658"/>
      <c r="E39" s="1658"/>
      <c r="F39" s="1658"/>
      <c r="G39" s="1658"/>
      <c r="H39" s="942"/>
      <c r="I39" s="952"/>
      <c r="J39" s="944"/>
      <c r="K39" s="334"/>
      <c r="L39" s="1340"/>
      <c r="N39" s="332"/>
      <c r="O39" s="332"/>
      <c r="P39" s="332"/>
      <c r="Q39" s="332"/>
      <c r="R39" s="332"/>
      <c r="S39" s="332"/>
      <c r="T39" s="332"/>
    </row>
    <row r="40" spans="1:20" s="1482" customFormat="1" ht="21.6" customHeight="1" x14ac:dyDescent="0.2">
      <c r="A40" s="947" t="s">
        <v>1012</v>
      </c>
      <c r="B40" s="1651" t="s">
        <v>1013</v>
      </c>
      <c r="C40" s="1651"/>
      <c r="D40" s="1651"/>
      <c r="E40" s="1651"/>
      <c r="F40" s="1651"/>
      <c r="G40" s="1651"/>
      <c r="H40" s="942"/>
      <c r="I40" s="950">
        <f>I14/I31</f>
        <v>1.2905904614298087E-2</v>
      </c>
      <c r="J40" s="949"/>
      <c r="K40" s="334"/>
      <c r="L40" s="1340"/>
      <c r="N40" s="332"/>
      <c r="O40" s="332"/>
      <c r="P40" s="332"/>
      <c r="Q40" s="332"/>
      <c r="R40" s="332"/>
      <c r="S40" s="332"/>
      <c r="T40" s="332"/>
    </row>
    <row r="41" spans="1:20" s="1482" customFormat="1" ht="21.6" customHeight="1" x14ac:dyDescent="0.2">
      <c r="A41" s="947" t="s">
        <v>1014</v>
      </c>
      <c r="B41" s="1651" t="s">
        <v>1015</v>
      </c>
      <c r="C41" s="1651"/>
      <c r="D41" s="1651"/>
      <c r="E41" s="1651"/>
      <c r="F41" s="1651"/>
      <c r="G41" s="1651"/>
      <c r="H41" s="942"/>
      <c r="I41" s="950">
        <f>I18/I31</f>
        <v>1.5487085537157705E-2</v>
      </c>
      <c r="J41" s="949"/>
      <c r="K41" s="334"/>
      <c r="L41" s="1340"/>
      <c r="N41" s="332"/>
      <c r="O41" s="332"/>
      <c r="P41" s="332"/>
      <c r="Q41" s="332"/>
      <c r="R41" s="332"/>
      <c r="S41" s="332"/>
      <c r="T41" s="332"/>
    </row>
    <row r="42" spans="1:20" s="1482" customFormat="1" ht="21.6" customHeight="1" x14ac:dyDescent="0.2">
      <c r="A42" s="947" t="s">
        <v>1016</v>
      </c>
      <c r="B42" s="1651" t="s">
        <v>1017</v>
      </c>
      <c r="C42" s="1651"/>
      <c r="D42" s="1651"/>
      <c r="E42" s="1651"/>
      <c r="F42" s="1651"/>
      <c r="G42" s="1651"/>
      <c r="H42" s="942"/>
      <c r="I42" s="950">
        <f>I23/I31</f>
        <v>1.6777675998587514E-2</v>
      </c>
      <c r="J42" s="949"/>
      <c r="K42" s="334"/>
      <c r="L42" s="1340"/>
      <c r="N42" s="332"/>
      <c r="O42" s="332"/>
      <c r="P42" s="332"/>
      <c r="Q42" s="332"/>
      <c r="R42" s="332"/>
      <c r="S42" s="332"/>
      <c r="T42" s="332"/>
    </row>
    <row r="43" spans="1:20" s="1482" customFormat="1" ht="41.25" customHeight="1" x14ac:dyDescent="0.25">
      <c r="A43" s="364" t="s">
        <v>1018</v>
      </c>
      <c r="B43" s="1530" t="s">
        <v>1019</v>
      </c>
      <c r="C43" s="1531"/>
      <c r="D43" s="1531"/>
      <c r="E43" s="1531"/>
      <c r="F43" s="1531"/>
      <c r="G43" s="1531"/>
      <c r="H43" s="231"/>
      <c r="I43" s="1014"/>
      <c r="J43" s="1015"/>
      <c r="K43" s="334"/>
      <c r="L43" s="1340"/>
      <c r="N43" s="332"/>
      <c r="O43" s="332"/>
      <c r="P43" s="332"/>
      <c r="Q43" s="332"/>
      <c r="R43" s="332"/>
      <c r="S43" s="332"/>
      <c r="T43" s="332"/>
    </row>
    <row r="44" spans="1:20" s="1482" customFormat="1" ht="21.6" customHeight="1" x14ac:dyDescent="0.2">
      <c r="A44" s="951" t="s">
        <v>1020</v>
      </c>
      <c r="B44" s="1651" t="s">
        <v>1021</v>
      </c>
      <c r="C44" s="1651"/>
      <c r="D44" s="1651"/>
      <c r="E44" s="1651"/>
      <c r="F44" s="1651"/>
      <c r="G44" s="1651"/>
      <c r="H44" s="942"/>
      <c r="I44" s="950">
        <v>4.4999999999999998E-2</v>
      </c>
      <c r="J44" s="949"/>
      <c r="K44" s="334"/>
      <c r="L44" s="1340"/>
      <c r="N44" s="332"/>
      <c r="O44" s="332"/>
      <c r="P44" s="332"/>
      <c r="Q44" s="332"/>
      <c r="R44" s="332"/>
      <c r="S44" s="332"/>
      <c r="T44" s="332"/>
    </row>
    <row r="45" spans="1:20" s="1482" customFormat="1" ht="35.85" customHeight="1" x14ac:dyDescent="0.2">
      <c r="A45" s="953" t="s">
        <v>1022</v>
      </c>
      <c r="B45" s="1661" t="s">
        <v>1023</v>
      </c>
      <c r="C45" s="1651"/>
      <c r="D45" s="1651"/>
      <c r="E45" s="1651"/>
      <c r="F45" s="1651"/>
      <c r="G45" s="1651"/>
      <c r="H45" s="942"/>
      <c r="I45" s="950">
        <f>2.5%</f>
        <v>2.5000000000000001E-2</v>
      </c>
      <c r="J45" s="949"/>
      <c r="K45" s="334"/>
      <c r="L45" s="1340"/>
      <c r="N45" s="332"/>
      <c r="O45" s="332"/>
      <c r="P45" s="332"/>
      <c r="Q45" s="332"/>
      <c r="R45" s="332"/>
      <c r="S45" s="332"/>
      <c r="T45" s="332"/>
    </row>
    <row r="46" spans="1:20" s="1482" customFormat="1" ht="35.85" customHeight="1" x14ac:dyDescent="0.2">
      <c r="A46" s="953" t="s">
        <v>1024</v>
      </c>
      <c r="B46" s="1661" t="s">
        <v>1025</v>
      </c>
      <c r="C46" s="1651"/>
      <c r="D46" s="1651"/>
      <c r="E46" s="1651"/>
      <c r="F46" s="1651"/>
      <c r="G46" s="1651"/>
      <c r="H46" s="942"/>
      <c r="I46" s="950">
        <f>P_CASABISIRB_REQ.MELD!I54</f>
        <v>0</v>
      </c>
      <c r="J46" s="949"/>
      <c r="K46" s="334"/>
      <c r="L46" s="1340"/>
      <c r="N46" s="332"/>
      <c r="O46" s="332"/>
      <c r="P46" s="332"/>
      <c r="Q46" s="332"/>
      <c r="R46" s="332"/>
      <c r="S46" s="332"/>
      <c r="T46" s="332"/>
    </row>
    <row r="47" spans="1:20" s="1482" customFormat="1" ht="35.85" customHeight="1" x14ac:dyDescent="0.2">
      <c r="A47" s="547" t="s">
        <v>1026</v>
      </c>
      <c r="B47" s="1527" t="s">
        <v>1027</v>
      </c>
      <c r="C47" s="1535"/>
      <c r="D47" s="1535"/>
      <c r="E47" s="1535"/>
      <c r="F47" s="1535"/>
      <c r="G47" s="1535"/>
      <c r="H47" s="231"/>
      <c r="I47" s="1016"/>
      <c r="J47" s="361">
        <v>596</v>
      </c>
      <c r="K47" s="334"/>
      <c r="L47" s="1020" t="e">
        <f>IF(#REF!=1,IF(AND(I47&gt;=0,I47&lt;=0.035),"ok","ERROR"),IF(I47&lt;&gt;0,"ERROR","OK"))</f>
        <v>#REF!</v>
      </c>
      <c r="N47" s="332"/>
      <c r="O47" s="332"/>
      <c r="P47" s="332"/>
      <c r="Q47" s="332"/>
      <c r="R47" s="332"/>
      <c r="S47" s="332"/>
      <c r="T47" s="332"/>
    </row>
    <row r="48" spans="1:20" s="1482" customFormat="1" ht="21.6" customHeight="1" x14ac:dyDescent="0.2">
      <c r="A48" s="951" t="s">
        <v>1028</v>
      </c>
      <c r="B48" s="1651" t="s">
        <v>1029</v>
      </c>
      <c r="C48" s="1651"/>
      <c r="D48" s="1651"/>
      <c r="E48" s="1651"/>
      <c r="F48" s="1651"/>
      <c r="G48" s="1651"/>
      <c r="H48" s="942"/>
      <c r="I48" s="950">
        <f>SUM(I44:I46)</f>
        <v>7.0000000000000007E-2</v>
      </c>
      <c r="J48" s="949"/>
      <c r="K48" s="334"/>
      <c r="L48" s="1340"/>
      <c r="N48" s="332"/>
      <c r="O48" s="332"/>
      <c r="P48" s="332"/>
      <c r="Q48" s="332"/>
      <c r="R48" s="332"/>
      <c r="S48" s="332"/>
      <c r="T48" s="332"/>
    </row>
    <row r="49" spans="1:20" s="1482" customFormat="1" ht="35.85" customHeight="1" x14ac:dyDescent="0.2">
      <c r="A49" s="953" t="s">
        <v>1030</v>
      </c>
      <c r="B49" s="1662" t="s">
        <v>1031</v>
      </c>
      <c r="C49" s="1662"/>
      <c r="D49" s="1662"/>
      <c r="E49" s="1662"/>
      <c r="F49" s="1662"/>
      <c r="G49" s="1662"/>
      <c r="H49" s="942"/>
      <c r="I49" s="950">
        <f>SUM(I45:I47)</f>
        <v>2.5000000000000001E-2</v>
      </c>
      <c r="J49" s="949"/>
      <c r="K49" s="334"/>
      <c r="L49" s="1340"/>
      <c r="N49" s="332"/>
      <c r="O49" s="332"/>
      <c r="P49" s="332"/>
      <c r="Q49" s="332"/>
      <c r="R49" s="332"/>
      <c r="S49" s="332"/>
      <c r="T49" s="332"/>
    </row>
    <row r="50" spans="1:20" s="1482" customFormat="1" ht="21.6" customHeight="1" x14ac:dyDescent="0.2">
      <c r="A50" s="951" t="s">
        <v>1032</v>
      </c>
      <c r="B50" s="1651" t="s">
        <v>1033</v>
      </c>
      <c r="C50" s="1651"/>
      <c r="D50" s="1651"/>
      <c r="E50" s="1651"/>
      <c r="F50" s="1651"/>
      <c r="G50" s="1651"/>
      <c r="H50" s="942"/>
      <c r="I50" s="950">
        <v>0.02</v>
      </c>
      <c r="J50" s="949"/>
      <c r="K50" s="334"/>
      <c r="L50" s="1340"/>
      <c r="N50" s="332"/>
      <c r="O50" s="332"/>
      <c r="P50" s="332"/>
      <c r="Q50" s="332"/>
      <c r="R50" s="332"/>
      <c r="S50" s="332"/>
      <c r="T50" s="332"/>
    </row>
    <row r="51" spans="1:20" s="1482" customFormat="1" ht="21.6" customHeight="1" x14ac:dyDescent="0.2">
      <c r="A51" s="951" t="s">
        <v>1034</v>
      </c>
      <c r="B51" s="1651" t="s">
        <v>1035</v>
      </c>
      <c r="C51" s="1651"/>
      <c r="D51" s="1651"/>
      <c r="E51" s="1651"/>
      <c r="F51" s="1651"/>
      <c r="G51" s="1651"/>
      <c r="H51" s="942"/>
      <c r="I51" s="950">
        <f>MIN(I50,I$21/I$31)</f>
        <v>1.2905904614298087E-3</v>
      </c>
      <c r="J51" s="949"/>
      <c r="K51" s="334"/>
      <c r="L51" s="1340"/>
      <c r="N51" s="332"/>
      <c r="O51" s="332"/>
      <c r="P51" s="332"/>
      <c r="Q51" s="332"/>
      <c r="R51" s="332"/>
      <c r="S51" s="332"/>
      <c r="T51" s="332"/>
    </row>
    <row r="52" spans="1:20" s="1482" customFormat="1" ht="21.6" customHeight="1" x14ac:dyDescent="0.2">
      <c r="A52" s="951" t="s">
        <v>1036</v>
      </c>
      <c r="B52" s="1651" t="s">
        <v>1037</v>
      </c>
      <c r="C52" s="1651"/>
      <c r="D52" s="1651"/>
      <c r="E52" s="1651"/>
      <c r="F52" s="1651"/>
      <c r="G52" s="1651"/>
      <c r="H52" s="942"/>
      <c r="I52" s="950">
        <f>MIN(I50-I51,I$16/I$31)</f>
        <v>2.5811809228596175E-3</v>
      </c>
      <c r="J52" s="949"/>
      <c r="K52" s="334"/>
      <c r="L52" s="1340"/>
      <c r="N52" s="332"/>
      <c r="O52" s="332"/>
      <c r="P52" s="332"/>
      <c r="Q52" s="332"/>
      <c r="R52" s="332"/>
      <c r="S52" s="332"/>
      <c r="T52" s="332"/>
    </row>
    <row r="53" spans="1:20" s="1482" customFormat="1" ht="21.6" customHeight="1" x14ac:dyDescent="0.2">
      <c r="A53" s="951" t="s">
        <v>1038</v>
      </c>
      <c r="B53" s="1651" t="s">
        <v>1039</v>
      </c>
      <c r="C53" s="1651"/>
      <c r="D53" s="1651"/>
      <c r="E53" s="1651"/>
      <c r="F53" s="1651"/>
      <c r="G53" s="1651"/>
      <c r="H53" s="942"/>
      <c r="I53" s="950">
        <f>MIN(I50-I51-I52,I$14/I$31)</f>
        <v>1.2905904614298087E-2</v>
      </c>
      <c r="J53" s="949"/>
      <c r="K53" s="334"/>
      <c r="L53" s="1340"/>
      <c r="N53" s="332"/>
      <c r="O53" s="332"/>
      <c r="P53" s="332"/>
      <c r="Q53" s="332"/>
      <c r="R53" s="332"/>
      <c r="S53" s="332"/>
      <c r="T53" s="332"/>
    </row>
    <row r="54" spans="1:20" s="1482" customFormat="1" ht="21.6" customHeight="1" x14ac:dyDescent="0.2">
      <c r="A54" s="951" t="s">
        <v>1040</v>
      </c>
      <c r="B54" s="1651" t="s">
        <v>1041</v>
      </c>
      <c r="C54" s="1651"/>
      <c r="D54" s="1651"/>
      <c r="E54" s="1651"/>
      <c r="F54" s="1651"/>
      <c r="G54" s="1651"/>
      <c r="H54" s="942"/>
      <c r="I54" s="950">
        <v>1.2E-2</v>
      </c>
      <c r="J54" s="949"/>
      <c r="K54" s="334"/>
      <c r="L54" s="1340"/>
      <c r="N54" s="332"/>
      <c r="O54" s="332"/>
      <c r="P54" s="332"/>
      <c r="Q54" s="332"/>
      <c r="R54" s="332"/>
      <c r="S54" s="332"/>
      <c r="T54" s="332"/>
    </row>
    <row r="55" spans="1:20" s="1482" customFormat="1" ht="21.6" customHeight="1" x14ac:dyDescent="0.2">
      <c r="A55" s="951" t="s">
        <v>1042</v>
      </c>
      <c r="B55" s="1651" t="s">
        <v>1037</v>
      </c>
      <c r="C55" s="1651"/>
      <c r="D55" s="1651"/>
      <c r="E55" s="1651"/>
      <c r="F55" s="1651"/>
      <c r="G55" s="1651"/>
      <c r="H55" s="942"/>
      <c r="I55" s="950">
        <f>MIN(I54,I$16/I$31-I52)</f>
        <v>0</v>
      </c>
      <c r="J55" s="949"/>
      <c r="K55" s="334"/>
      <c r="L55" s="1340"/>
      <c r="N55" s="332"/>
      <c r="O55" s="332"/>
      <c r="P55" s="332"/>
      <c r="Q55" s="332"/>
      <c r="R55" s="332"/>
      <c r="S55" s="332"/>
      <c r="T55" s="332"/>
    </row>
    <row r="56" spans="1:20" s="1482" customFormat="1" ht="21.6" customHeight="1" x14ac:dyDescent="0.2">
      <c r="A56" s="951" t="s">
        <v>1043</v>
      </c>
      <c r="B56" s="1651" t="s">
        <v>1039</v>
      </c>
      <c r="C56" s="1651"/>
      <c r="D56" s="1651"/>
      <c r="E56" s="1651"/>
      <c r="F56" s="1651"/>
      <c r="G56" s="1651"/>
      <c r="H56" s="942"/>
      <c r="I56" s="950">
        <f>MIN(I54-I55,I$14/I$31)</f>
        <v>1.2E-2</v>
      </c>
      <c r="J56" s="949"/>
      <c r="K56" s="334"/>
      <c r="L56" s="1340"/>
      <c r="N56" s="332"/>
      <c r="O56" s="332"/>
      <c r="P56" s="332"/>
      <c r="Q56" s="332"/>
      <c r="R56" s="332"/>
      <c r="S56" s="332"/>
      <c r="T56" s="332"/>
    </row>
    <row r="57" spans="1:20" s="1482" customFormat="1" ht="41.25" customHeight="1" x14ac:dyDescent="0.2">
      <c r="A57" s="953" t="s">
        <v>1044</v>
      </c>
      <c r="B57" s="1662" t="s">
        <v>1045</v>
      </c>
      <c r="C57" s="1662"/>
      <c r="D57" s="1662"/>
      <c r="E57" s="1662"/>
      <c r="F57" s="1662"/>
      <c r="G57" s="1662"/>
      <c r="H57" s="942"/>
      <c r="I57" s="950">
        <f>I40-I44-I53-I56</f>
        <v>-5.6999999999999995E-2</v>
      </c>
      <c r="J57" s="949"/>
      <c r="K57" s="334"/>
      <c r="L57" s="1340"/>
      <c r="N57" s="332"/>
      <c r="O57" s="332"/>
      <c r="P57" s="332"/>
      <c r="Q57" s="332"/>
      <c r="R57" s="332"/>
      <c r="S57" s="332"/>
      <c r="T57" s="332"/>
    </row>
    <row r="58" spans="1:20" s="1482" customFormat="1" ht="41.25" customHeight="1" x14ac:dyDescent="0.25">
      <c r="A58" s="945" t="s">
        <v>1046</v>
      </c>
      <c r="B58" s="1657" t="s">
        <v>1047</v>
      </c>
      <c r="C58" s="1658"/>
      <c r="D58" s="1658"/>
      <c r="E58" s="1658"/>
      <c r="F58" s="1658"/>
      <c r="G58" s="1658"/>
      <c r="H58" s="942"/>
      <c r="I58" s="954"/>
      <c r="J58" s="944"/>
      <c r="K58" s="334"/>
      <c r="L58" s="1340"/>
      <c r="N58" s="332"/>
      <c r="O58" s="332"/>
      <c r="P58" s="332"/>
      <c r="Q58" s="332"/>
      <c r="R58" s="332"/>
      <c r="S58" s="332"/>
      <c r="T58" s="332"/>
    </row>
    <row r="59" spans="1:20" s="1482" customFormat="1" ht="35.85" customHeight="1" x14ac:dyDescent="0.2">
      <c r="A59" s="955" t="s">
        <v>1048</v>
      </c>
      <c r="B59" s="1664" t="s">
        <v>1049</v>
      </c>
      <c r="C59" s="1664"/>
      <c r="D59" s="1664"/>
      <c r="E59" s="1664"/>
      <c r="F59" s="1664"/>
      <c r="G59" s="1664"/>
      <c r="H59" s="942"/>
      <c r="I59" s="950">
        <f>4.5%+P_CASABISIRB_REQ.MELD!I21+P_CASABISIRB_REQ.MELD!I22+P_CASABISIRB_REQ.MELD!I25+P_CASABISIRB_REQ.MELD!I28+P_CASABISIRB_REQ.MELD!I31+P_CASABISIRB_REQ.MELD!I32+P_CASABISIRB_REQ.MELD!I34+P_CASABISIRB_REQ.MELD!I35</f>
        <v>4.5103247236914376E-2</v>
      </c>
      <c r="J59" s="949"/>
      <c r="K59" s="334"/>
      <c r="L59" s="1340"/>
      <c r="N59" s="332"/>
      <c r="O59" s="332"/>
      <c r="P59" s="332"/>
      <c r="Q59" s="332"/>
      <c r="R59" s="332"/>
      <c r="S59" s="332"/>
      <c r="T59" s="332"/>
    </row>
    <row r="60" spans="1:20" s="1482" customFormat="1" ht="35.85" customHeight="1" x14ac:dyDescent="0.2">
      <c r="A60" s="955" t="s">
        <v>1050</v>
      </c>
      <c r="B60" s="1663" t="s">
        <v>1051</v>
      </c>
      <c r="C60" s="1663"/>
      <c r="D60" s="1663"/>
      <c r="E60" s="1663"/>
      <c r="F60" s="1663"/>
      <c r="G60" s="1663"/>
      <c r="H60" s="942"/>
      <c r="I60" s="950">
        <f>I42</f>
        <v>1.6777675998587514E-2</v>
      </c>
      <c r="J60" s="949"/>
      <c r="K60" s="334"/>
      <c r="L60" s="1340"/>
      <c r="N60" s="332"/>
      <c r="O60" s="332"/>
      <c r="P60" s="332"/>
      <c r="Q60" s="332"/>
      <c r="R60" s="332"/>
      <c r="S60" s="332"/>
      <c r="T60" s="332"/>
    </row>
    <row r="61" spans="1:20" s="1482" customFormat="1" ht="41.25" customHeight="1" x14ac:dyDescent="0.2">
      <c r="A61" s="956" t="s">
        <v>1052</v>
      </c>
      <c r="B61" s="1665" t="s">
        <v>1053</v>
      </c>
      <c r="C61" s="1665"/>
      <c r="D61" s="1665"/>
      <c r="E61" s="1665"/>
      <c r="F61" s="1665"/>
      <c r="G61" s="1665"/>
      <c r="H61" s="942"/>
      <c r="I61" s="950">
        <f>I60-I59</f>
        <v>-2.8325571238326862E-2</v>
      </c>
      <c r="J61" s="949"/>
      <c r="K61" s="334"/>
      <c r="L61" s="1340"/>
      <c r="N61" s="332"/>
      <c r="O61" s="332"/>
      <c r="P61" s="332"/>
      <c r="Q61" s="332"/>
      <c r="R61" s="332"/>
      <c r="S61" s="332"/>
      <c r="T61" s="332"/>
    </row>
    <row r="62" spans="1:20" s="1482" customFormat="1" ht="21.6" customHeight="1" x14ac:dyDescent="0.2">
      <c r="A62" s="947" t="s">
        <v>1054</v>
      </c>
      <c r="B62" s="1663" t="s">
        <v>1055</v>
      </c>
      <c r="C62" s="1663"/>
      <c r="D62" s="1663"/>
      <c r="E62" s="1663"/>
      <c r="F62" s="1663"/>
      <c r="G62" s="1663"/>
      <c r="H62" s="942"/>
      <c r="I62" s="950">
        <f>P_CASABISIRB_REQ.MELD!I34+P_CASABISIRB_REQ.MELD!I35</f>
        <v>0</v>
      </c>
      <c r="J62" s="949"/>
      <c r="K62" s="334"/>
      <c r="L62" s="1340"/>
      <c r="N62" s="332"/>
      <c r="O62" s="332"/>
      <c r="P62" s="332"/>
      <c r="Q62" s="332"/>
      <c r="R62" s="332"/>
      <c r="S62" s="332"/>
      <c r="T62" s="332"/>
    </row>
    <row r="63" spans="1:20" s="1482" customFormat="1" ht="21.6" customHeight="1" x14ac:dyDescent="0.2">
      <c r="A63" s="947" t="s">
        <v>1056</v>
      </c>
      <c r="B63" s="1663" t="s">
        <v>1057</v>
      </c>
      <c r="C63" s="1663"/>
      <c r="D63" s="1663"/>
      <c r="E63" s="1663"/>
      <c r="F63" s="1663"/>
      <c r="G63" s="1663"/>
      <c r="H63" s="942"/>
      <c r="I63" s="950">
        <f>MIN(I62,I$21/I$31)</f>
        <v>0</v>
      </c>
      <c r="J63" s="949"/>
      <c r="K63" s="334"/>
      <c r="L63" s="1340"/>
      <c r="N63" s="332"/>
      <c r="O63" s="332"/>
      <c r="P63" s="332"/>
      <c r="Q63" s="332"/>
      <c r="R63" s="332"/>
      <c r="S63" s="332"/>
      <c r="T63" s="332"/>
    </row>
    <row r="64" spans="1:20" s="1482" customFormat="1" ht="21.6" customHeight="1" x14ac:dyDescent="0.2">
      <c r="A64" s="947" t="s">
        <v>1058</v>
      </c>
      <c r="B64" s="1663" t="s">
        <v>1059</v>
      </c>
      <c r="C64" s="1663"/>
      <c r="D64" s="1663"/>
      <c r="E64" s="1663"/>
      <c r="F64" s="1663"/>
      <c r="G64" s="1663"/>
      <c r="H64" s="942"/>
      <c r="I64" s="950">
        <f>MIN(I62-I63,I$16/I$31)</f>
        <v>0</v>
      </c>
      <c r="J64" s="949"/>
      <c r="K64" s="334"/>
      <c r="L64" s="1340"/>
      <c r="N64" s="332"/>
      <c r="O64" s="332"/>
      <c r="P64" s="332"/>
      <c r="Q64" s="332"/>
      <c r="R64" s="332"/>
      <c r="S64" s="332"/>
      <c r="T64" s="332"/>
    </row>
    <row r="65" spans="1:20" s="1482" customFormat="1" ht="21.6" customHeight="1" x14ac:dyDescent="0.2">
      <c r="A65" s="947" t="s">
        <v>1060</v>
      </c>
      <c r="B65" s="1663" t="s">
        <v>1061</v>
      </c>
      <c r="C65" s="1663"/>
      <c r="D65" s="1663"/>
      <c r="E65" s="1663"/>
      <c r="F65" s="1663"/>
      <c r="G65" s="1663"/>
      <c r="H65" s="942"/>
      <c r="I65" s="950">
        <f>MIN(I62-I63-I64,I$14/I$31)</f>
        <v>0</v>
      </c>
      <c r="J65" s="949"/>
      <c r="K65" s="334"/>
      <c r="L65" s="1340"/>
      <c r="N65" s="332"/>
      <c r="O65" s="332"/>
      <c r="P65" s="332"/>
      <c r="Q65" s="332"/>
      <c r="R65" s="332"/>
      <c r="S65" s="332"/>
      <c r="T65" s="332"/>
    </row>
    <row r="66" spans="1:20" s="1482" customFormat="1" ht="21.6" customHeight="1" x14ac:dyDescent="0.2">
      <c r="A66" s="947" t="s">
        <v>1062</v>
      </c>
      <c r="B66" s="1663" t="s">
        <v>1063</v>
      </c>
      <c r="C66" s="1663"/>
      <c r="D66" s="1663"/>
      <c r="E66" s="1663"/>
      <c r="F66" s="1663"/>
      <c r="G66" s="1663"/>
      <c r="H66" s="942"/>
      <c r="I66" s="950">
        <f>P_CASABISIRB_REQ.MELD!I31+P_CASABISIRB_REQ.MELD!I32</f>
        <v>0</v>
      </c>
      <c r="J66" s="949"/>
      <c r="K66" s="334"/>
      <c r="L66" s="1340"/>
      <c r="N66" s="332"/>
      <c r="O66" s="332"/>
      <c r="P66" s="332"/>
      <c r="Q66" s="332"/>
      <c r="R66" s="332"/>
      <c r="S66" s="332"/>
      <c r="T66" s="332"/>
    </row>
    <row r="67" spans="1:20" s="1482" customFormat="1" ht="21.6" customHeight="1" x14ac:dyDescent="0.2">
      <c r="A67" s="947" t="s">
        <v>1064</v>
      </c>
      <c r="B67" s="1663" t="s">
        <v>1065</v>
      </c>
      <c r="C67" s="1663"/>
      <c r="D67" s="1663"/>
      <c r="E67" s="1663"/>
      <c r="F67" s="1663"/>
      <c r="G67" s="1663"/>
      <c r="H67" s="942"/>
      <c r="I67" s="950">
        <f>MIN(I66,I$16/I$31-I64)</f>
        <v>0</v>
      </c>
      <c r="J67" s="949"/>
      <c r="K67" s="334"/>
      <c r="L67" s="1340"/>
      <c r="N67" s="332"/>
      <c r="O67" s="332"/>
      <c r="P67" s="332"/>
      <c r="Q67" s="332"/>
      <c r="R67" s="332"/>
      <c r="S67" s="332"/>
      <c r="T67" s="332"/>
    </row>
    <row r="68" spans="1:20" s="1482" customFormat="1" ht="21.6" customHeight="1" x14ac:dyDescent="0.2">
      <c r="A68" s="947" t="s">
        <v>1066</v>
      </c>
      <c r="B68" s="1663" t="s">
        <v>1067</v>
      </c>
      <c r="C68" s="1663"/>
      <c r="D68" s="1663"/>
      <c r="E68" s="1663"/>
      <c r="F68" s="1663"/>
      <c r="G68" s="1663"/>
      <c r="H68" s="942"/>
      <c r="I68" s="950">
        <f>MIN(I66-I67,I$14/I$31)</f>
        <v>0</v>
      </c>
      <c r="J68" s="949"/>
      <c r="K68" s="334"/>
      <c r="L68" s="1340"/>
      <c r="N68" s="332"/>
      <c r="O68" s="332"/>
      <c r="P68" s="332"/>
      <c r="Q68" s="332"/>
      <c r="R68" s="332"/>
      <c r="S68" s="332"/>
      <c r="T68" s="332"/>
    </row>
    <row r="69" spans="1:20" s="1482" customFormat="1" ht="35.85" customHeight="1" x14ac:dyDescent="0.2">
      <c r="A69" s="955" t="s">
        <v>1068</v>
      </c>
      <c r="B69" s="1663" t="s">
        <v>1069</v>
      </c>
      <c r="C69" s="1663"/>
      <c r="D69" s="1663"/>
      <c r="E69" s="1663"/>
      <c r="F69" s="1663"/>
      <c r="G69" s="1663"/>
      <c r="H69" s="942"/>
      <c r="I69" s="950">
        <f>I59-I62</f>
        <v>4.5103247236914376E-2</v>
      </c>
      <c r="J69" s="949"/>
      <c r="K69" s="334"/>
      <c r="L69" s="1340"/>
      <c r="N69" s="332"/>
      <c r="O69" s="332"/>
      <c r="P69" s="332"/>
      <c r="Q69" s="332"/>
      <c r="R69" s="332"/>
      <c r="S69" s="332"/>
      <c r="T69" s="332"/>
    </row>
    <row r="70" spans="1:20" s="1482" customFormat="1" ht="35.85" customHeight="1" x14ac:dyDescent="0.2">
      <c r="A70" s="955" t="s">
        <v>1070</v>
      </c>
      <c r="B70" s="1663" t="s">
        <v>1071</v>
      </c>
      <c r="C70" s="1663"/>
      <c r="D70" s="1663"/>
      <c r="E70" s="1663"/>
      <c r="F70" s="1663"/>
      <c r="G70" s="1663"/>
      <c r="H70" s="942"/>
      <c r="I70" s="950">
        <f>I15+I17-I64-I65</f>
        <v>1.5487085537157705E-2</v>
      </c>
      <c r="J70" s="949"/>
      <c r="K70" s="334"/>
      <c r="L70" s="1340"/>
      <c r="N70" s="332"/>
      <c r="O70" s="332"/>
      <c r="P70" s="332"/>
      <c r="Q70" s="332"/>
      <c r="R70" s="332"/>
      <c r="S70" s="332"/>
      <c r="T70" s="332"/>
    </row>
    <row r="71" spans="1:20" s="1482" customFormat="1" ht="41.25" customHeight="1" x14ac:dyDescent="0.2">
      <c r="A71" s="956" t="s">
        <v>1072</v>
      </c>
      <c r="B71" s="1665" t="s">
        <v>1073</v>
      </c>
      <c r="C71" s="1665"/>
      <c r="D71" s="1665"/>
      <c r="E71" s="1665"/>
      <c r="F71" s="1665"/>
      <c r="G71" s="1665"/>
      <c r="H71" s="942"/>
      <c r="I71" s="950">
        <f>I70-I69</f>
        <v>-2.9616161699756671E-2</v>
      </c>
      <c r="J71" s="949"/>
      <c r="K71" s="334"/>
      <c r="L71" s="1340"/>
      <c r="N71" s="332"/>
      <c r="O71" s="332"/>
      <c r="P71" s="332"/>
      <c r="Q71" s="332"/>
      <c r="R71" s="332"/>
      <c r="S71" s="332"/>
      <c r="T71" s="332"/>
    </row>
    <row r="72" spans="1:20" s="1482" customFormat="1" ht="35.85" customHeight="1" x14ac:dyDescent="0.2">
      <c r="A72" s="955" t="s">
        <v>1074</v>
      </c>
      <c r="B72" s="1663" t="s">
        <v>1075</v>
      </c>
      <c r="C72" s="1663"/>
      <c r="D72" s="1663"/>
      <c r="E72" s="1663"/>
      <c r="F72" s="1663"/>
      <c r="G72" s="1663"/>
      <c r="H72" s="942"/>
      <c r="I72" s="950">
        <f>I59-I62-I66</f>
        <v>4.5103247236914376E-2</v>
      </c>
      <c r="J72" s="949"/>
      <c r="K72" s="334"/>
      <c r="L72" s="1340"/>
      <c r="N72" s="332"/>
      <c r="O72" s="332"/>
      <c r="P72" s="332"/>
      <c r="Q72" s="332"/>
      <c r="R72" s="332"/>
      <c r="S72" s="332"/>
      <c r="T72" s="332"/>
    </row>
    <row r="73" spans="1:20" s="1482" customFormat="1" ht="35.85" customHeight="1" x14ac:dyDescent="0.2">
      <c r="A73" s="955" t="s">
        <v>1076</v>
      </c>
      <c r="B73" s="1663" t="s">
        <v>1077</v>
      </c>
      <c r="C73" s="1663"/>
      <c r="D73" s="1663"/>
      <c r="E73" s="1663"/>
      <c r="F73" s="1663"/>
      <c r="G73" s="1663"/>
      <c r="H73" s="942"/>
      <c r="I73" s="950">
        <f>P_CASABISIRB_REQ.MELD!I25+P_CASABISIRB_REQ.MELD!I28</f>
        <v>1.032472369143847E-4</v>
      </c>
      <c r="J73" s="949"/>
      <c r="K73" s="334"/>
      <c r="L73" s="1340"/>
      <c r="N73" s="332"/>
      <c r="O73" s="332"/>
      <c r="P73" s="332"/>
      <c r="Q73" s="332"/>
      <c r="R73" s="332"/>
      <c r="S73" s="332"/>
      <c r="T73" s="332"/>
    </row>
    <row r="74" spans="1:20" s="1482" customFormat="1" ht="35.85" customHeight="1" x14ac:dyDescent="0.2">
      <c r="A74" s="955" t="s">
        <v>1078</v>
      </c>
      <c r="B74" s="1663" t="s">
        <v>1079</v>
      </c>
      <c r="C74" s="1663"/>
      <c r="D74" s="1663"/>
      <c r="E74" s="1663"/>
      <c r="F74" s="1663"/>
      <c r="G74" s="1663"/>
      <c r="H74" s="942"/>
      <c r="I74" s="950">
        <f>I15-I65-I68</f>
        <v>1.2905904614298087E-2</v>
      </c>
      <c r="J74" s="949"/>
      <c r="K74" s="334"/>
      <c r="L74" s="1340"/>
      <c r="N74" s="332"/>
      <c r="O74" s="332"/>
      <c r="P74" s="332"/>
      <c r="Q74" s="332"/>
      <c r="R74" s="332"/>
      <c r="S74" s="332"/>
      <c r="T74" s="332"/>
    </row>
    <row r="75" spans="1:20" s="1482" customFormat="1" ht="41.25" customHeight="1" x14ac:dyDescent="0.2">
      <c r="A75" s="956" t="s">
        <v>1080</v>
      </c>
      <c r="B75" s="1666" t="s">
        <v>1081</v>
      </c>
      <c r="C75" s="1666"/>
      <c r="D75" s="1666"/>
      <c r="E75" s="1666"/>
      <c r="F75" s="1666"/>
      <c r="G75" s="1666"/>
      <c r="H75" s="942"/>
      <c r="I75" s="950">
        <f>I74-I72</f>
        <v>-3.2197342622616289E-2</v>
      </c>
      <c r="J75" s="949"/>
      <c r="K75" s="334"/>
      <c r="L75" s="1340"/>
      <c r="N75" s="332"/>
      <c r="O75" s="332"/>
      <c r="P75" s="332"/>
      <c r="Q75" s="332"/>
      <c r="R75" s="332"/>
      <c r="S75" s="332"/>
      <c r="T75" s="332"/>
    </row>
    <row r="76" spans="1:20" s="1482" customFormat="1" ht="41.25" customHeight="1" x14ac:dyDescent="0.2">
      <c r="A76" s="957" t="s">
        <v>1082</v>
      </c>
      <c r="B76" s="1667" t="s">
        <v>1083</v>
      </c>
      <c r="C76" s="1667"/>
      <c r="D76" s="1667"/>
      <c r="E76" s="1667"/>
      <c r="F76" s="1667"/>
      <c r="G76" s="1667"/>
      <c r="H76" s="942"/>
      <c r="I76" s="943"/>
      <c r="J76" s="944"/>
      <c r="K76" s="334"/>
      <c r="L76" s="1340"/>
      <c r="N76" s="332"/>
      <c r="O76" s="332"/>
      <c r="P76" s="332"/>
      <c r="Q76" s="332"/>
      <c r="R76" s="332"/>
      <c r="S76" s="332"/>
      <c r="T76" s="332"/>
    </row>
    <row r="77" spans="1:20" s="1482" customFormat="1" ht="21.6" customHeight="1" x14ac:dyDescent="0.2">
      <c r="A77" s="947" t="s">
        <v>1084</v>
      </c>
      <c r="B77" s="1664" t="s">
        <v>1085</v>
      </c>
      <c r="C77" s="1664"/>
      <c r="D77" s="1664"/>
      <c r="E77" s="1664"/>
      <c r="F77" s="1664"/>
      <c r="G77" s="1664"/>
      <c r="H77" s="942"/>
      <c r="I77" s="958">
        <f>I31*I75</f>
        <v>-124738805.93749997</v>
      </c>
      <c r="J77" s="949"/>
      <c r="K77" s="334"/>
      <c r="L77" s="1340"/>
      <c r="N77" s="332"/>
      <c r="O77" s="332"/>
      <c r="P77" s="332"/>
      <c r="Q77" s="332"/>
      <c r="R77" s="332"/>
      <c r="S77" s="332"/>
      <c r="T77" s="332"/>
    </row>
    <row r="78" spans="1:20" s="1482" customFormat="1" ht="21.6" customHeight="1" x14ac:dyDescent="0.2">
      <c r="A78" s="947" t="s">
        <v>1086</v>
      </c>
      <c r="B78" s="1663" t="s">
        <v>1087</v>
      </c>
      <c r="C78" s="1663"/>
      <c r="D78" s="1663"/>
      <c r="E78" s="1663"/>
      <c r="F78" s="1663"/>
      <c r="G78" s="1663"/>
      <c r="H78" s="942"/>
      <c r="I78" s="958">
        <f>I31*I71</f>
        <v>-114738805.93749997</v>
      </c>
      <c r="J78" s="949"/>
      <c r="K78" s="334"/>
      <c r="L78" s="1340"/>
      <c r="N78" s="332"/>
      <c r="O78" s="332"/>
      <c r="P78" s="332"/>
      <c r="Q78" s="332"/>
      <c r="R78" s="332"/>
      <c r="S78" s="332"/>
      <c r="T78" s="332"/>
    </row>
    <row r="79" spans="1:20" s="1482" customFormat="1" ht="21.6" customHeight="1" x14ac:dyDescent="0.2">
      <c r="A79" s="947" t="s">
        <v>1088</v>
      </c>
      <c r="B79" s="1663" t="s">
        <v>1089</v>
      </c>
      <c r="C79" s="1663"/>
      <c r="D79" s="1663"/>
      <c r="E79" s="1663"/>
      <c r="F79" s="1663"/>
      <c r="G79" s="1663"/>
      <c r="H79" s="942"/>
      <c r="I79" s="958">
        <f>I31*I61</f>
        <v>-109738805.93749997</v>
      </c>
      <c r="J79" s="949"/>
      <c r="K79" s="334"/>
      <c r="L79" s="1340"/>
      <c r="N79" s="332"/>
      <c r="O79" s="332"/>
      <c r="P79" s="332"/>
      <c r="Q79" s="332"/>
      <c r="R79" s="332"/>
      <c r="S79" s="332"/>
      <c r="T79" s="332"/>
    </row>
    <row r="80" spans="1:20" s="1482" customFormat="1" ht="41.25" customHeight="1" x14ac:dyDescent="0.2">
      <c r="A80" s="956" t="s">
        <v>1090</v>
      </c>
      <c r="B80" s="1667" t="s">
        <v>1091</v>
      </c>
      <c r="C80" s="1667"/>
      <c r="D80" s="1667"/>
      <c r="E80" s="1667"/>
      <c r="F80" s="1667"/>
      <c r="G80" s="1667"/>
      <c r="H80" s="942"/>
      <c r="I80" s="959"/>
      <c r="J80" s="944"/>
      <c r="K80" s="334"/>
      <c r="L80" s="1340"/>
      <c r="N80" s="332"/>
      <c r="O80" s="332"/>
      <c r="P80" s="332"/>
      <c r="Q80" s="332"/>
      <c r="R80" s="332"/>
      <c r="S80" s="332"/>
      <c r="T80" s="332"/>
    </row>
    <row r="81" spans="1:20" s="1482" customFormat="1" ht="21.6" customHeight="1" x14ac:dyDescent="0.2">
      <c r="A81" s="947" t="s">
        <v>1092</v>
      </c>
      <c r="B81" s="1664" t="s">
        <v>1093</v>
      </c>
      <c r="C81" s="1664"/>
      <c r="D81" s="1664"/>
      <c r="E81" s="1664"/>
      <c r="F81" s="1664"/>
      <c r="G81" s="1664"/>
      <c r="H81" s="942"/>
      <c r="I81" s="958">
        <f>P_CASABISIRB_REQ.MELD!I39+P_CASABISIRB_REQ.MELD!I43+P_CASABISIRB_REQ.MELD!I53</f>
        <v>0</v>
      </c>
      <c r="J81" s="949"/>
      <c r="K81" s="334"/>
      <c r="L81" s="1340"/>
      <c r="N81" s="332"/>
      <c r="O81" s="332"/>
      <c r="P81" s="332"/>
      <c r="Q81" s="332"/>
      <c r="R81" s="332"/>
      <c r="S81" s="332"/>
      <c r="T81" s="332"/>
    </row>
    <row r="82" spans="1:20" s="1482" customFormat="1" ht="21.6" customHeight="1" x14ac:dyDescent="0.2">
      <c r="A82" s="947" t="s">
        <v>1094</v>
      </c>
      <c r="B82" s="1663" t="s">
        <v>1095</v>
      </c>
      <c r="C82" s="1663"/>
      <c r="D82" s="1663"/>
      <c r="E82" s="1663"/>
      <c r="F82" s="1663"/>
      <c r="G82" s="1663"/>
      <c r="H82" s="942"/>
      <c r="I82" s="958">
        <f>P_CASABISIRB_REQ.MELD!I40+P_CASABISIRB_REQ.MELD!I44+P_CASABISIRB_REQ.MELD!I54</f>
        <v>0</v>
      </c>
      <c r="J82" s="949"/>
      <c r="K82" s="334"/>
      <c r="L82" s="1340"/>
      <c r="N82" s="332"/>
      <c r="O82" s="332"/>
      <c r="P82" s="332"/>
      <c r="Q82" s="332"/>
      <c r="R82" s="332"/>
      <c r="S82" s="332"/>
      <c r="T82" s="332"/>
    </row>
    <row r="83" spans="1:20" s="1482" customFormat="1" ht="21.6" customHeight="1" x14ac:dyDescent="0.2">
      <c r="A83" s="947" t="s">
        <v>1096</v>
      </c>
      <c r="B83" s="1663" t="s">
        <v>1097</v>
      </c>
      <c r="C83" s="1663"/>
      <c r="D83" s="1663"/>
      <c r="E83" s="1663"/>
      <c r="F83" s="1663"/>
      <c r="G83" s="1663"/>
      <c r="H83" s="942"/>
      <c r="I83" s="958">
        <f>P_CASABISIRB_REQ.MELD!I41+P_CASABISIRB_REQ.MELD!I45+P_CASABISIRB_REQ.MELD!I55</f>
        <v>0</v>
      </c>
      <c r="J83" s="949"/>
      <c r="K83" s="334"/>
      <c r="L83" s="1340"/>
      <c r="N83" s="332"/>
      <c r="O83" s="332"/>
      <c r="P83" s="332"/>
      <c r="Q83" s="332"/>
      <c r="R83" s="332"/>
      <c r="S83" s="332"/>
      <c r="T83" s="332"/>
    </row>
    <row r="84" spans="1:20" s="1482" customFormat="1" ht="41.25" customHeight="1" x14ac:dyDescent="0.2">
      <c r="A84" s="956" t="s">
        <v>1098</v>
      </c>
      <c r="B84" s="1667" t="s">
        <v>1099</v>
      </c>
      <c r="C84" s="1667"/>
      <c r="D84" s="1667"/>
      <c r="E84" s="1667"/>
      <c r="F84" s="1667"/>
      <c r="G84" s="1667"/>
      <c r="H84" s="942"/>
      <c r="I84" s="959"/>
      <c r="J84" s="944"/>
      <c r="K84" s="334"/>
      <c r="L84" s="1340"/>
      <c r="N84" s="332"/>
      <c r="O84" s="332"/>
      <c r="P84" s="332"/>
      <c r="Q84" s="332"/>
      <c r="R84" s="332"/>
      <c r="S84" s="332"/>
      <c r="T84" s="332"/>
    </row>
    <row r="85" spans="1:20" s="1482" customFormat="1" ht="21.6" customHeight="1" x14ac:dyDescent="0.2">
      <c r="A85" s="947" t="s">
        <v>1100</v>
      </c>
      <c r="B85" s="1664" t="s">
        <v>1101</v>
      </c>
      <c r="C85" s="1664"/>
      <c r="D85" s="1664"/>
      <c r="E85" s="1664"/>
      <c r="F85" s="1664"/>
      <c r="G85" s="1664"/>
      <c r="H85" s="942"/>
      <c r="I85" s="958">
        <f>I77-I81</f>
        <v>-124738805.93749997</v>
      </c>
      <c r="J85" s="949"/>
      <c r="K85" s="334"/>
      <c r="L85" s="1340"/>
      <c r="N85" s="332"/>
      <c r="O85" s="332"/>
      <c r="P85" s="332"/>
      <c r="Q85" s="332"/>
      <c r="R85" s="332"/>
      <c r="S85" s="332"/>
      <c r="T85" s="332"/>
    </row>
    <row r="86" spans="1:20" s="1482" customFormat="1" ht="21.6" customHeight="1" x14ac:dyDescent="0.2">
      <c r="A86" s="947" t="s">
        <v>1102</v>
      </c>
      <c r="B86" s="1663" t="s">
        <v>1103</v>
      </c>
      <c r="C86" s="1663"/>
      <c r="D86" s="1663"/>
      <c r="E86" s="1663"/>
      <c r="F86" s="1663"/>
      <c r="G86" s="1663"/>
      <c r="H86" s="942"/>
      <c r="I86" s="958">
        <f>I78-(I81+I82)</f>
        <v>-114738805.93749997</v>
      </c>
      <c r="J86" s="949"/>
      <c r="K86" s="334"/>
      <c r="L86" s="1340"/>
      <c r="N86" s="332"/>
      <c r="O86" s="332"/>
      <c r="P86" s="332"/>
      <c r="Q86" s="332"/>
      <c r="R86" s="332"/>
      <c r="S86" s="332"/>
      <c r="T86" s="332"/>
    </row>
    <row r="87" spans="1:20" s="1482" customFormat="1" ht="21.6" customHeight="1" x14ac:dyDescent="0.2">
      <c r="A87" s="947" t="s">
        <v>1104</v>
      </c>
      <c r="B87" s="1663" t="s">
        <v>1105</v>
      </c>
      <c r="C87" s="1663"/>
      <c r="D87" s="1663"/>
      <c r="E87" s="1663"/>
      <c r="F87" s="1663"/>
      <c r="G87" s="1663"/>
      <c r="H87" s="942"/>
      <c r="I87" s="958">
        <f>I79-(I81+I82+I83)</f>
        <v>-109738805.93749997</v>
      </c>
      <c r="J87" s="949"/>
      <c r="K87" s="334"/>
      <c r="L87" s="1340"/>
      <c r="N87" s="332"/>
      <c r="O87" s="332"/>
      <c r="P87" s="332"/>
      <c r="Q87" s="332"/>
      <c r="R87" s="332"/>
      <c r="S87" s="332"/>
      <c r="T87" s="332"/>
    </row>
    <row r="88" spans="1:20" s="1482" customFormat="1" ht="41.25" customHeight="1" x14ac:dyDescent="0.2">
      <c r="A88" s="1017" t="s">
        <v>1106</v>
      </c>
      <c r="B88" s="1567" t="s">
        <v>1107</v>
      </c>
      <c r="C88" s="1567"/>
      <c r="D88" s="1567"/>
      <c r="E88" s="1567"/>
      <c r="F88" s="1567"/>
      <c r="G88" s="1567"/>
      <c r="H88" s="231"/>
      <c r="I88" s="1018" t="e">
        <f>P_CASABISIRB_REQ.MELD!#REF!</f>
        <v>#REF!</v>
      </c>
      <c r="J88" s="361"/>
      <c r="L88" s="1020" t="e">
        <f>IF(I88=SUM(I89:I91),"OK","ERROR")</f>
        <v>#REF!</v>
      </c>
      <c r="N88" s="332"/>
      <c r="O88" s="332"/>
      <c r="P88" s="332"/>
      <c r="Q88" s="332"/>
      <c r="R88" s="332"/>
      <c r="S88" s="332"/>
      <c r="T88" s="332"/>
    </row>
    <row r="89" spans="1:20" s="1482" customFormat="1" ht="21.6" customHeight="1" x14ac:dyDescent="0.2">
      <c r="A89" s="366" t="s">
        <v>1108</v>
      </c>
      <c r="B89" s="1565" t="s">
        <v>1109</v>
      </c>
      <c r="C89" s="1565"/>
      <c r="D89" s="1565"/>
      <c r="E89" s="1565"/>
      <c r="F89" s="1565"/>
      <c r="G89" s="1565"/>
      <c r="H89" s="231"/>
      <c r="I89" s="1019"/>
      <c r="J89" s="361">
        <v>597</v>
      </c>
      <c r="K89" s="334"/>
      <c r="L89" s="1020" t="str">
        <f>IF(I89&gt;=0,"OK","ERROR")</f>
        <v>OK</v>
      </c>
      <c r="N89" s="332"/>
      <c r="O89" s="332"/>
      <c r="P89" s="332"/>
      <c r="Q89" s="332"/>
      <c r="R89" s="332"/>
      <c r="S89" s="332"/>
      <c r="T89" s="332"/>
    </row>
    <row r="90" spans="1:20" s="1482" customFormat="1" ht="21.6" customHeight="1" x14ac:dyDescent="0.2">
      <c r="A90" s="366" t="s">
        <v>1110</v>
      </c>
      <c r="B90" s="1563" t="s">
        <v>1111</v>
      </c>
      <c r="C90" s="1563"/>
      <c r="D90" s="1563"/>
      <c r="E90" s="1563"/>
      <c r="F90" s="1563"/>
      <c r="G90" s="1563"/>
      <c r="H90" s="231"/>
      <c r="I90" s="1019"/>
      <c r="J90" s="361">
        <v>598</v>
      </c>
      <c r="K90" s="334"/>
      <c r="L90" s="1020" t="str">
        <f>IF(I90&gt;=0,"OK","ERROR")</f>
        <v>OK</v>
      </c>
      <c r="N90" s="332"/>
      <c r="O90" s="332"/>
      <c r="P90" s="332"/>
      <c r="Q90" s="332"/>
      <c r="R90" s="332"/>
      <c r="S90" s="332"/>
      <c r="T90" s="332"/>
    </row>
    <row r="91" spans="1:20" s="332" customFormat="1" ht="21.6" customHeight="1" x14ac:dyDescent="0.2">
      <c r="A91" s="366" t="s">
        <v>1112</v>
      </c>
      <c r="B91" s="1563" t="s">
        <v>1113</v>
      </c>
      <c r="C91" s="1563"/>
      <c r="D91" s="1563"/>
      <c r="E91" s="1563"/>
      <c r="F91" s="1563"/>
      <c r="G91" s="1563"/>
      <c r="H91" s="231"/>
      <c r="I91" s="1019"/>
      <c r="J91" s="361">
        <v>599</v>
      </c>
      <c r="K91" s="334"/>
      <c r="L91" s="1020" t="str">
        <f>IF(I91&gt;=0,"OK","ERROR")</f>
        <v>OK</v>
      </c>
      <c r="M91" s="1482"/>
    </row>
    <row r="92" spans="1:20" s="332" customFormat="1" ht="35.85" customHeight="1" x14ac:dyDescent="0.2">
      <c r="A92" s="957" t="s">
        <v>1114</v>
      </c>
      <c r="B92" s="1667" t="s">
        <v>1115</v>
      </c>
      <c r="C92" s="1667"/>
      <c r="D92" s="1667"/>
      <c r="E92" s="1667"/>
      <c r="F92" s="1667"/>
      <c r="G92" s="1667"/>
      <c r="H92" s="942"/>
      <c r="I92" s="959"/>
      <c r="J92" s="944"/>
      <c r="K92" s="334"/>
      <c r="L92" s="1340"/>
      <c r="M92" s="1482"/>
    </row>
    <row r="93" spans="1:20" s="332" customFormat="1" ht="21.6" customHeight="1" x14ac:dyDescent="0.2">
      <c r="A93" s="947" t="s">
        <v>1116</v>
      </c>
      <c r="B93" s="1664" t="s">
        <v>1101</v>
      </c>
      <c r="C93" s="1664"/>
      <c r="D93" s="1664"/>
      <c r="E93" s="1664"/>
      <c r="F93" s="1664"/>
      <c r="G93" s="1664"/>
      <c r="H93" s="942"/>
      <c r="I93" s="958">
        <f>I85-I89</f>
        <v>-124738805.93749997</v>
      </c>
      <c r="J93" s="944"/>
      <c r="K93" s="334"/>
      <c r="L93" s="1340"/>
      <c r="M93" s="1482"/>
    </row>
    <row r="94" spans="1:20" s="332" customFormat="1" ht="21.6" customHeight="1" x14ac:dyDescent="0.2">
      <c r="A94" s="947" t="s">
        <v>1117</v>
      </c>
      <c r="B94" s="1663" t="s">
        <v>1103</v>
      </c>
      <c r="C94" s="1663"/>
      <c r="D94" s="1663"/>
      <c r="E94" s="1663"/>
      <c r="F94" s="1663"/>
      <c r="G94" s="1663"/>
      <c r="H94" s="942"/>
      <c r="I94" s="958">
        <f>I86-(I89+I90)</f>
        <v>-114738805.93749997</v>
      </c>
      <c r="J94" s="944"/>
      <c r="K94" s="334"/>
      <c r="L94" s="1340"/>
      <c r="M94" s="1482"/>
    </row>
    <row r="95" spans="1:20" s="332" customFormat="1" ht="20.85" customHeight="1" x14ac:dyDescent="0.2">
      <c r="A95" s="947" t="s">
        <v>1118</v>
      </c>
      <c r="B95" s="1663" t="s">
        <v>1105</v>
      </c>
      <c r="C95" s="1663"/>
      <c r="D95" s="1663"/>
      <c r="E95" s="1663"/>
      <c r="F95" s="1663"/>
      <c r="G95" s="1663"/>
      <c r="H95" s="942"/>
      <c r="I95" s="958" t="e">
        <f>I87-I88</f>
        <v>#REF!</v>
      </c>
      <c r="J95" s="944"/>
      <c r="K95" s="334"/>
      <c r="L95" s="1340"/>
      <c r="M95" s="1482"/>
    </row>
    <row r="96" spans="1:20" s="332" customFormat="1" ht="20.85" hidden="1" customHeight="1" x14ac:dyDescent="0.2">
      <c r="A96" s="297"/>
      <c r="B96" s="1566"/>
      <c r="C96" s="1566"/>
      <c r="D96" s="1566"/>
      <c r="E96" s="1566"/>
      <c r="F96" s="1566"/>
      <c r="G96" s="1566"/>
      <c r="H96" s="291"/>
      <c r="I96" s="405"/>
      <c r="J96" s="403"/>
      <c r="K96" s="334"/>
      <c r="L96" s="1340"/>
      <c r="M96" s="1482"/>
    </row>
    <row r="97" spans="1:20" s="1482" customFormat="1" ht="7.5" customHeight="1" x14ac:dyDescent="0.2">
      <c r="A97" s="369"/>
      <c r="B97" s="1574"/>
      <c r="C97" s="1574"/>
      <c r="D97" s="1574"/>
      <c r="E97" s="1574"/>
      <c r="F97" s="1574"/>
      <c r="G97" s="1574"/>
      <c r="H97" s="12"/>
      <c r="I97" s="234"/>
      <c r="J97" s="28"/>
      <c r="K97" s="260"/>
      <c r="L97" s="1340"/>
      <c r="N97" s="332"/>
      <c r="O97" s="332"/>
      <c r="P97" s="332"/>
      <c r="Q97" s="332"/>
      <c r="R97" s="332"/>
      <c r="S97" s="332"/>
      <c r="T97" s="332"/>
    </row>
    <row r="98" spans="1:20" s="1482" customFormat="1" ht="20.85" customHeight="1" x14ac:dyDescent="0.2">
      <c r="A98" s="370"/>
      <c r="B98" s="26" t="str">
        <f>"Version: "&amp;D108</f>
        <v>Version: 3.03.E0</v>
      </c>
      <c r="C98" s="9"/>
      <c r="D98" s="9"/>
      <c r="E98" s="9"/>
      <c r="F98" s="9"/>
      <c r="G98" s="9"/>
      <c r="H98" s="9"/>
      <c r="I98" s="1"/>
      <c r="J98" s="235" t="s">
        <v>25</v>
      </c>
      <c r="K98" s="332"/>
      <c r="L98" s="1330"/>
      <c r="N98" s="332"/>
      <c r="O98" s="332"/>
      <c r="P98" s="332"/>
      <c r="Q98" s="332"/>
      <c r="R98" s="332"/>
      <c r="S98" s="332"/>
      <c r="T98" s="332"/>
    </row>
    <row r="99" spans="1:20" s="1482" customFormat="1" x14ac:dyDescent="0.2">
      <c r="A99" s="281"/>
      <c r="B99" s="1"/>
      <c r="C99" s="1"/>
      <c r="D99" s="1"/>
      <c r="E99" s="1"/>
      <c r="F99" s="1"/>
      <c r="G99" s="1"/>
      <c r="H99" s="1"/>
      <c r="I99" s="1"/>
      <c r="J99" s="1"/>
      <c r="K99" s="332"/>
      <c r="L99" s="1330"/>
      <c r="N99" s="332"/>
      <c r="O99" s="332"/>
      <c r="P99" s="332"/>
      <c r="Q99" s="332"/>
      <c r="R99" s="332"/>
      <c r="S99" s="332"/>
      <c r="T99" s="332"/>
    </row>
    <row r="100" spans="1:20" s="1482" customFormat="1" x14ac:dyDescent="0.2">
      <c r="A100" s="371" t="s">
        <v>1226</v>
      </c>
      <c r="B100" s="1" t="s">
        <v>1227</v>
      </c>
      <c r="C100" s="1"/>
      <c r="D100" s="1"/>
      <c r="E100" s="1"/>
      <c r="F100" s="1"/>
      <c r="G100" s="1"/>
      <c r="H100" s="1"/>
      <c r="I100" s="1"/>
      <c r="J100" s="1"/>
      <c r="K100" s="332"/>
      <c r="L100" s="1340"/>
      <c r="N100" s="332"/>
      <c r="O100" s="332"/>
      <c r="P100" s="332"/>
      <c r="Q100" s="332"/>
      <c r="R100" s="332"/>
      <c r="S100" s="332"/>
      <c r="T100" s="332"/>
    </row>
    <row r="101" spans="1:20" s="1482" customFormat="1" x14ac:dyDescent="0.2">
      <c r="A101" s="281"/>
      <c r="B101" s="1" t="s">
        <v>1228</v>
      </c>
      <c r="C101" s="1"/>
      <c r="D101" s="1"/>
      <c r="E101" s="1"/>
      <c r="F101" s="1"/>
      <c r="G101" s="1"/>
      <c r="H101" s="1"/>
      <c r="I101" s="1"/>
      <c r="J101" s="1"/>
      <c r="K101" s="332"/>
      <c r="L101" s="1330"/>
      <c r="N101" s="332"/>
      <c r="O101" s="332"/>
      <c r="P101" s="332"/>
      <c r="Q101" s="332"/>
      <c r="R101" s="332"/>
      <c r="S101" s="332"/>
      <c r="T101" s="332"/>
    </row>
    <row r="102" spans="1:20" s="1482" customFormat="1" x14ac:dyDescent="0.2">
      <c r="A102" s="281"/>
      <c r="B102" s="1" t="s">
        <v>1229</v>
      </c>
      <c r="C102" s="1"/>
      <c r="D102" s="1"/>
      <c r="E102" s="1"/>
      <c r="F102" s="1"/>
      <c r="G102" s="1"/>
      <c r="H102" s="1"/>
      <c r="I102" s="1"/>
      <c r="J102" s="1"/>
      <c r="K102" s="332"/>
      <c r="L102" s="1330"/>
      <c r="N102" s="332"/>
      <c r="O102" s="332"/>
      <c r="P102" s="332"/>
      <c r="Q102" s="332"/>
      <c r="R102" s="332"/>
      <c r="S102" s="332"/>
      <c r="T102" s="332"/>
    </row>
    <row r="103" spans="1:20" s="1482" customFormat="1" x14ac:dyDescent="0.2">
      <c r="A103" s="281"/>
      <c r="B103" s="1"/>
      <c r="C103" s="1"/>
      <c r="D103" s="1"/>
      <c r="E103" s="1"/>
      <c r="F103" s="1"/>
      <c r="G103" s="1"/>
      <c r="H103" s="1"/>
      <c r="I103" s="1"/>
      <c r="J103" s="1"/>
      <c r="K103" s="332"/>
      <c r="L103" s="1330"/>
      <c r="N103" s="332"/>
      <c r="O103" s="332"/>
      <c r="P103" s="332"/>
      <c r="Q103" s="332"/>
      <c r="R103" s="332"/>
      <c r="S103" s="332"/>
      <c r="T103" s="332"/>
    </row>
    <row r="105" spans="1:20" s="1482" customFormat="1" x14ac:dyDescent="0.2">
      <c r="A105" s="372"/>
      <c r="B105" s="237"/>
      <c r="C105" s="20" t="s">
        <v>24</v>
      </c>
      <c r="D105" s="19" t="str">
        <f>I2</f>
        <v>XXXXXX</v>
      </c>
      <c r="E105" s="1"/>
      <c r="F105" s="1"/>
      <c r="G105" s="1"/>
      <c r="H105" s="1"/>
      <c r="I105" s="1"/>
      <c r="J105" s="1"/>
      <c r="K105" s="332"/>
      <c r="L105" s="1330"/>
      <c r="N105" s="332"/>
      <c r="O105" s="332"/>
      <c r="P105" s="332"/>
      <c r="Q105" s="332"/>
      <c r="R105" s="332"/>
      <c r="S105" s="332"/>
      <c r="T105" s="332"/>
    </row>
    <row r="106" spans="1:20" s="1482" customFormat="1" x14ac:dyDescent="0.2">
      <c r="A106" s="373"/>
      <c r="B106" s="61"/>
      <c r="C106" s="9"/>
      <c r="D106" s="239" t="str">
        <f>I1</f>
        <v>P_CASABISIRB_RAT</v>
      </c>
      <c r="E106" s="1"/>
      <c r="F106" s="1"/>
      <c r="G106" s="1"/>
      <c r="H106" s="1"/>
      <c r="I106" s="1"/>
      <c r="J106" s="1"/>
      <c r="K106" s="332"/>
      <c r="L106" s="1330"/>
      <c r="N106" s="332"/>
      <c r="O106" s="332"/>
      <c r="P106" s="332"/>
      <c r="Q106" s="332"/>
      <c r="R106" s="332"/>
      <c r="S106" s="332"/>
      <c r="T106" s="332"/>
    </row>
    <row r="107" spans="1:20" s="1482" customFormat="1" x14ac:dyDescent="0.2">
      <c r="A107" s="373"/>
      <c r="B107" s="61"/>
      <c r="C107" s="9"/>
      <c r="D107" s="239" t="str">
        <f>I3</f>
        <v>DD.MM.YYYY</v>
      </c>
      <c r="E107" s="1"/>
      <c r="F107" s="1"/>
      <c r="G107" s="1"/>
      <c r="H107" s="1"/>
      <c r="I107" s="1"/>
      <c r="J107" s="1"/>
      <c r="K107" s="332"/>
      <c r="L107" s="1330"/>
      <c r="N107" s="332"/>
      <c r="O107" s="332"/>
      <c r="P107" s="332"/>
      <c r="Q107" s="332"/>
      <c r="R107" s="332"/>
      <c r="S107" s="332"/>
      <c r="T107" s="332"/>
    </row>
    <row r="108" spans="1:20" s="1482" customFormat="1" x14ac:dyDescent="0.2">
      <c r="A108" s="373"/>
      <c r="B108" s="61"/>
      <c r="C108" s="9"/>
      <c r="D108" s="16" t="s">
        <v>1230</v>
      </c>
      <c r="E108" s="1"/>
      <c r="F108" s="1"/>
      <c r="G108" s="1"/>
      <c r="H108" s="1"/>
      <c r="I108" s="1"/>
      <c r="J108" s="1"/>
      <c r="K108" s="332"/>
      <c r="L108" s="1330"/>
      <c r="N108" s="332"/>
      <c r="O108" s="332"/>
      <c r="P108" s="332"/>
      <c r="Q108" s="332"/>
      <c r="R108" s="332"/>
      <c r="S108" s="332"/>
      <c r="T108" s="332"/>
    </row>
    <row r="109" spans="1:20" s="1482" customFormat="1" x14ac:dyDescent="0.2">
      <c r="A109" s="373"/>
      <c r="B109" s="61"/>
      <c r="C109" s="9"/>
      <c r="D109" s="216" t="str">
        <f>I10</f>
        <v>col. 01</v>
      </c>
      <c r="E109" s="1"/>
      <c r="F109" s="1"/>
      <c r="G109" s="1"/>
      <c r="H109" s="1"/>
      <c r="I109" s="1"/>
      <c r="J109" s="1"/>
      <c r="K109" s="332"/>
      <c r="L109" s="1330"/>
      <c r="N109" s="332"/>
      <c r="O109" s="332"/>
      <c r="P109" s="332"/>
      <c r="Q109" s="332"/>
      <c r="R109" s="332"/>
      <c r="S109" s="332"/>
      <c r="T109" s="332"/>
    </row>
    <row r="110" spans="1:20" s="1482" customFormat="1" x14ac:dyDescent="0.2">
      <c r="A110" s="373"/>
      <c r="B110" s="61"/>
      <c r="C110" s="9"/>
      <c r="D110" s="374">
        <f>COUNTIF(K11:L96,"ERROR")</f>
        <v>0</v>
      </c>
      <c r="E110" s="1"/>
      <c r="F110" s="1"/>
      <c r="G110" s="1"/>
      <c r="H110" s="1"/>
      <c r="I110" s="1"/>
      <c r="J110" s="1"/>
      <c r="K110" s="332"/>
      <c r="L110" s="1330"/>
      <c r="N110" s="332"/>
      <c r="O110" s="332"/>
      <c r="P110" s="332"/>
      <c r="Q110" s="332"/>
      <c r="R110" s="332"/>
      <c r="S110" s="332"/>
      <c r="T110" s="332"/>
    </row>
    <row r="111" spans="1:20" s="1482" customFormat="1" x14ac:dyDescent="0.2">
      <c r="A111" s="375"/>
      <c r="B111" s="212"/>
      <c r="C111" s="376"/>
      <c r="D111" s="377">
        <f>COUNTIF(K11:L96,"Warning")</f>
        <v>0</v>
      </c>
      <c r="E111" s="1"/>
      <c r="F111" s="1"/>
      <c r="G111" s="1"/>
      <c r="H111" s="1"/>
      <c r="I111" s="1"/>
      <c r="J111" s="1"/>
      <c r="K111" s="332"/>
      <c r="L111" s="1330"/>
      <c r="N111" s="332"/>
      <c r="O111" s="332"/>
      <c r="P111" s="332"/>
      <c r="Q111" s="332"/>
      <c r="R111" s="332"/>
      <c r="S111" s="332"/>
      <c r="T111" s="332"/>
    </row>
    <row r="112" spans="1:20" s="1482" customFormat="1" x14ac:dyDescent="0.2">
      <c r="A112" s="281"/>
      <c r="B112" s="242"/>
      <c r="C112" s="8"/>
      <c r="D112" s="9"/>
      <c r="E112" s="1"/>
      <c r="F112" s="1"/>
      <c r="G112" s="1"/>
      <c r="H112" s="1"/>
      <c r="I112" s="1"/>
      <c r="J112" s="1"/>
      <c r="K112" s="332"/>
      <c r="L112" s="1330"/>
      <c r="N112" s="332"/>
      <c r="O112" s="332"/>
      <c r="P112" s="332"/>
      <c r="Q112" s="332"/>
      <c r="R112" s="332"/>
      <c r="S112" s="332"/>
      <c r="T112" s="332"/>
    </row>
  </sheetData>
  <mergeCells count="86">
    <mergeCell ref="B94:G94"/>
    <mergeCell ref="B95:G95"/>
    <mergeCell ref="B96:G96"/>
    <mergeCell ref="B97:G97"/>
    <mergeCell ref="B88:G88"/>
    <mergeCell ref="B89:G89"/>
    <mergeCell ref="B90:G90"/>
    <mergeCell ref="B91:G91"/>
    <mergeCell ref="B92:G92"/>
    <mergeCell ref="B93:G93"/>
    <mergeCell ref="B87:G87"/>
    <mergeCell ref="B76:G76"/>
    <mergeCell ref="B77:G77"/>
    <mergeCell ref="B78:G78"/>
    <mergeCell ref="B79:G79"/>
    <mergeCell ref="B80:G80"/>
    <mergeCell ref="B81:G81"/>
    <mergeCell ref="B82:G82"/>
    <mergeCell ref="B83:G83"/>
    <mergeCell ref="B84:G84"/>
    <mergeCell ref="B85:G85"/>
    <mergeCell ref="B86:G86"/>
    <mergeCell ref="B75:G75"/>
    <mergeCell ref="B64:G64"/>
    <mergeCell ref="B65:G65"/>
    <mergeCell ref="B66:G66"/>
    <mergeCell ref="B67:G67"/>
    <mergeCell ref="B68:G68"/>
    <mergeCell ref="B69:G69"/>
    <mergeCell ref="B70:G70"/>
    <mergeCell ref="B71:G71"/>
    <mergeCell ref="B72:G72"/>
    <mergeCell ref="B73:G73"/>
    <mergeCell ref="B74:G74"/>
    <mergeCell ref="B63:G63"/>
    <mergeCell ref="B52:G52"/>
    <mergeCell ref="B53:G53"/>
    <mergeCell ref="B54:G54"/>
    <mergeCell ref="B55:G55"/>
    <mergeCell ref="B56:G56"/>
    <mergeCell ref="B57:G57"/>
    <mergeCell ref="B58:G58"/>
    <mergeCell ref="B59:G59"/>
    <mergeCell ref="B60:G60"/>
    <mergeCell ref="B61:G61"/>
    <mergeCell ref="B62:G62"/>
    <mergeCell ref="B51:G51"/>
    <mergeCell ref="B40:G40"/>
    <mergeCell ref="B41:G41"/>
    <mergeCell ref="B42:G42"/>
    <mergeCell ref="B43:G43"/>
    <mergeCell ref="B44:G44"/>
    <mergeCell ref="B45:G45"/>
    <mergeCell ref="B46:G46"/>
    <mergeCell ref="B47:G47"/>
    <mergeCell ref="B48:G48"/>
    <mergeCell ref="B49:G49"/>
    <mergeCell ref="B50:G50"/>
    <mergeCell ref="B39:G39"/>
    <mergeCell ref="B29:G29"/>
    <mergeCell ref="B31:G31"/>
    <mergeCell ref="B32:G32"/>
    <mergeCell ref="B33:G33"/>
    <mergeCell ref="B34:G34"/>
    <mergeCell ref="B35:G35"/>
    <mergeCell ref="B36:G36"/>
    <mergeCell ref="B37:G37"/>
    <mergeCell ref="B38:G38"/>
    <mergeCell ref="B30:G30"/>
    <mergeCell ref="B28:G28"/>
    <mergeCell ref="B18:G18"/>
    <mergeCell ref="B19:G19"/>
    <mergeCell ref="B20:G20"/>
    <mergeCell ref="B21:G21"/>
    <mergeCell ref="B22:G22"/>
    <mergeCell ref="B23:G23"/>
    <mergeCell ref="B24:G24"/>
    <mergeCell ref="B25:G25"/>
    <mergeCell ref="B26:G26"/>
    <mergeCell ref="B27:G27"/>
    <mergeCell ref="B17:G17"/>
    <mergeCell ref="B12:G12"/>
    <mergeCell ref="B13:G13"/>
    <mergeCell ref="B14:G14"/>
    <mergeCell ref="B15:G15"/>
    <mergeCell ref="B16:G16"/>
  </mergeCells>
  <dataValidations disablePrompts="1" count="1">
    <dataValidation type="decimal" operator="notEqual" allowBlank="1" showInputMessage="1" showErrorMessage="1" errorTitle="Zahl" error="Hier ist nur ein Zahlenwert erlaubt" sqref="H40 H13 G44:G48 G98 H97:H98 G14:G24 G40:G42 G50:G56 G34:G36 G38 G26:G31" xr:uid="{00000000-0002-0000-0900-000000000000}">
      <formula1>9.99999999999999</formula1>
    </dataValidation>
  </dataValidations>
  <pageMargins left="0.59055118110236227" right="0.59055118110236227" top="0.78740157480314965" bottom="0.39370078740157483" header="0.31496062992125984" footer="0.31496062992125984"/>
  <pageSetup paperSize="9" scale="52" fitToHeight="3" pageOrder="overThenDown" orientation="portrait" r:id="rId1"/>
  <headerFooter alignWithMargins="0">
    <oddFooter>&amp;L&amp;"Arial,Fett"SNB Confidential&amp;C&amp;D&amp;RPage &amp;P</oddFooter>
  </headerFooter>
  <rowBreaks count="1" manualBreakCount="1">
    <brk id="57" max="9"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OSP_Note xmlns="http://schemas.microsoft.com/sharepoint/v3/fields">
      <Terms xmlns="http://schemas.microsoft.com/office/infopath/2007/PartnerControls">
        <TermInfo xmlns="http://schemas.microsoft.com/office/infopath/2007/PartnerControls">
          <TermName xmlns="http://schemas.microsoft.com/office/infopath/2007/PartnerControls">221.1 Verordnungen</TermName>
          <TermId xmlns="http://schemas.microsoft.com/office/infopath/2007/PartnerControls">9ccfc3c1-5885-4211-a0e7-6ae7b62a06d9</TermId>
        </TermInfo>
      </Terms>
    </OSP_Note>
    <_dlc_DocId xmlns="1344328b-cc1d-4c61-9763-d7c2eccf962e">3021-T-2-96227</_dlc_DocId>
    <_dlc_DocIdUrl xmlns="1344328b-cc1d-4c61-9763-d7c2eccf962e">
      <Url>https://dok.finma.ch/sites/3021-T/_layouts/15/DocIdRedir.aspx?ID=3021-T-2-96227</Url>
      <Description>3021-T-2-96227</Description>
    </_dlc_DocIdUrl>
    <DocumentDate xmlns="05A287B8-89EF-4885-8448-F0048F3C359E">2022-06-30T16:33:02+00:00</DocumentDate>
    <Topic_Note xmlns="http://schemas.microsoft.com/sharepoint/v3/fields">
      <Terms xmlns="http://schemas.microsoft.com/office/infopath/2007/PartnerControls"/>
    </Topic_Note>
    <ToBeArchived xmlns="05a287b8-89ef-4885-8448-f0048f3c359e">Ja</ToBeArchived>
    <OU_Note xmlns="http://schemas.microsoft.com/sharepoint/v3/fields">
      <Terms xmlns="http://schemas.microsoft.com/office/infopath/2007/PartnerControls">
        <TermInfo xmlns="http://schemas.microsoft.com/office/infopath/2007/PartnerControls">
          <TermName xmlns="http://schemas.microsoft.com/office/infopath/2007/PartnerControls">S-REG</TermName>
          <TermId xmlns="http://schemas.microsoft.com/office/infopath/2007/PartnerControls">8878274e-4d99-423b-811c-57bec7559333</TermId>
        </TermInfo>
      </Terms>
    </OU_Note>
    <RetentionPeriod xmlns="05A287B8-89EF-4885-8448-F0048F3C359E">10</RetentionPeriod>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Finma Document" ma:contentTypeID="0x0101003951D1F36BC944E987AD610ADE6A10C300BBE8F1D1C94D7247BD598B15EBF6B490" ma:contentTypeVersion="10" ma:contentTypeDescription="Ein neues Dokument erstellen." ma:contentTypeScope="" ma:versionID="ff54d9b6557cda81f45ba1c35ef2b782">
  <xsd:schema xmlns:xsd="http://www.w3.org/2001/XMLSchema" xmlns:xs="http://www.w3.org/2001/XMLSchema" xmlns:p="http://schemas.microsoft.com/office/2006/metadata/properties" xmlns:ns2="1344328b-cc1d-4c61-9763-d7c2eccf962e" xmlns:ns3="http://schemas.microsoft.com/sharepoint/v3/fields" xmlns:ns4="05A287B8-89EF-4885-8448-F0048F3C359E" xmlns:ns5="05a287b8-89ef-4885-8448-f0048f3c359e" targetNamespace="http://schemas.microsoft.com/office/2006/metadata/properties" ma:root="true" ma:fieldsID="fdfe65954c35df39aa27efafa23f527c" ns2:_="" ns3:_="" ns4:_="" ns5:_="">
    <xsd:import namespace="1344328b-cc1d-4c61-9763-d7c2eccf962e"/>
    <xsd:import namespace="http://schemas.microsoft.com/sharepoint/v3/fields"/>
    <xsd:import namespace="05A287B8-89EF-4885-8448-F0048F3C359E"/>
    <xsd:import namespace="05a287b8-89ef-4885-8448-f0048f3c359e"/>
    <xsd:element name="properties">
      <xsd:complexType>
        <xsd:sequence>
          <xsd:element name="documentManagement">
            <xsd:complexType>
              <xsd:all>
                <xsd:element ref="ns2:_dlc_DocId" minOccurs="0"/>
                <xsd:element ref="ns2:_dlc_DocIdUrl" minOccurs="0"/>
                <xsd:element ref="ns2:_dlc_DocIdPersistId" minOccurs="0"/>
                <xsd:element ref="ns3:Topic_Note" minOccurs="0"/>
                <xsd:element ref="ns3:OU_Note" minOccurs="0"/>
                <xsd:element ref="ns3:OSP_Note" minOccurs="0"/>
                <xsd:element ref="ns4:RetentionPeriod" minOccurs="0"/>
                <xsd:element ref="ns5:ToBeArchived" minOccurs="0"/>
                <xsd:element ref="ns4:DocumentDate"/>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44328b-cc1d-4c61-9763-d7c2eccf962e" elementFormDefault="qualified">
    <xsd:import namespace="http://schemas.microsoft.com/office/2006/documentManagement/types"/>
    <xsd:import namespace="http://schemas.microsoft.com/office/infopath/2007/PartnerControls"/>
    <xsd:element name="_dlc_DocId" ma:index="8" nillable="true" ma:displayName="Wert der Dokument-ID" ma:description="Der Wert der diesem Element zugewiesenen Dokument-ID." ma:internalName="_dlc_DocId" ma:readOnly="true">
      <xsd:simpleType>
        <xsd:restriction base="dms:Text"/>
      </xsd:simpleType>
    </xsd:element>
    <xsd:element name="_dlc_DocIdUrl" ma:index="9" nillable="true" ma:displayName="Dokument-ID" ma:description="Permanenter Hyperlink zu diesem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Topic_Note" ma:index="14" nillable="true" ma:taxonomy="true" ma:internalName="Topic_Note" ma:taxonomyFieldName="Topic" ma:displayName="Thema" ma:readOnly="false" ma:default="" ma:fieldId="{a64374eb-6e28-4d6b-ae22-c24ecbfd0ec3}" ma:sspId="27609f53-2d13-42be-a2b4-fd8d7f3f64db" ma:termSetId="7b4b023d-5e9a-475b-a148-dfe01b6a8d09" ma:anchorId="00000000-0000-0000-0000-000000000000" ma:open="true" ma:isKeyword="false">
      <xsd:complexType>
        <xsd:sequence>
          <xsd:element ref="pc:Terms" minOccurs="0" maxOccurs="1"/>
        </xsd:sequence>
      </xsd:complexType>
    </xsd:element>
    <xsd:element name="OU_Note" ma:index="16" nillable="true" ma:taxonomy="true" ma:internalName="OU_Note" ma:taxonomyFieldName="OU" ma:displayName="Organisationseinheit" ma:readOnly="false" ma:default="2;#S-REG|8878274e-4d99-423b-811c-57bec7559333" ma:fieldId="{fcb30f0d-baee-4a7e-876f-d65b0367c7a8}" ma:sspId="27609f53-2d13-42be-a2b4-fd8d7f3f64db" ma:termSetId="2e7da289-48a2-42d8-b875-47a1903a1d9d" ma:anchorId="00000000-0000-0000-0000-000000000000" ma:open="false" ma:isKeyword="false">
      <xsd:complexType>
        <xsd:sequence>
          <xsd:element ref="pc:Terms" minOccurs="0" maxOccurs="1"/>
        </xsd:sequence>
      </xsd:complexType>
    </xsd:element>
    <xsd:element name="OSP_Note" ma:index="18" nillable="true" ma:taxonomy="true" ma:internalName="OSP_Note" ma:taxonomyFieldName="OSP" ma:displayName="Ordnungssystemposition" ma:readOnly="false" ma:fieldId="{47fc1aad-a32f-4b87-b398-8d261b0da966}" ma:sspId="27609f53-2d13-42be-a2b4-fd8d7f3f64db" ma:termSetId="6eefd7ee-d6f6-47de-bb49-f1d342020326"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5A287B8-89EF-4885-8448-F0048F3C359E" elementFormDefault="qualified">
    <xsd:import namespace="http://schemas.microsoft.com/office/2006/documentManagement/types"/>
    <xsd:import namespace="http://schemas.microsoft.com/office/infopath/2007/PartnerControls"/>
    <xsd:element name="RetentionPeriod" ma:index="19" nillable="true" ma:displayName="Aufbewahrungsfrist" ma:description="Aufbewahrungsfrist des Dossiers" ma:hidden="true" ma:internalName="RetentionPeriod" ma:readOnly="false">
      <xsd:simpleType>
        <xsd:restriction base="dms:Text"/>
      </xsd:simpleType>
    </xsd:element>
    <xsd:element name="DocumentDate" ma:index="21" ma:displayName="Datum" ma:default="[today]" ma:description="Dokumentendatum" ma:format="DateOnly" ma:internalName="DocumentDate"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5a287b8-89ef-4885-8448-f0048f3c359e" elementFormDefault="qualified">
    <xsd:import namespace="http://schemas.microsoft.com/office/2006/documentManagement/types"/>
    <xsd:import namespace="http://schemas.microsoft.com/office/infopath/2007/PartnerControls"/>
    <xsd:element name="ToBeArchived" ma:index="20" nillable="true" ma:displayName="Archivwürdig" ma:description="Soll das Dossier archiviert werden" ma:hidden="true" ma:internalName="ToBeArchived"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53020CC-571F-48AD-BC5F-5F4F731D16E7}"/>
</file>

<file path=customXml/itemProps2.xml><?xml version="1.0" encoding="utf-8"?>
<ds:datastoreItem xmlns:ds="http://schemas.openxmlformats.org/officeDocument/2006/customXml" ds:itemID="{935F39BC-5899-4F14-9559-E45032E1803C}"/>
</file>

<file path=customXml/itemProps3.xml><?xml version="1.0" encoding="utf-8"?>
<ds:datastoreItem xmlns:ds="http://schemas.openxmlformats.org/officeDocument/2006/customXml" ds:itemID="{68B990FE-6EAF-4B35-BCA7-5BE59DFB40E6}"/>
</file>

<file path=customXml/itemProps4.xml><?xml version="1.0" encoding="utf-8"?>
<ds:datastoreItem xmlns:ds="http://schemas.openxmlformats.org/officeDocument/2006/customXml" ds:itemID="{F2286F7F-54F9-4476-A3F8-205C2523CA04}"/>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35</vt:i4>
      </vt:variant>
      <vt:variant>
        <vt:lpstr>Named Ranges</vt:lpstr>
      </vt:variant>
      <vt:variant>
        <vt:i4>62</vt:i4>
      </vt:variant>
    </vt:vector>
  </HeadingPairs>
  <TitlesOfParts>
    <vt:vector size="97" baseType="lpstr">
      <vt:lpstr>Delivery note</vt:lpstr>
      <vt:lpstr>P_CRSABIS_OPT.MELD</vt:lpstr>
      <vt:lpstr>P_CRSABIS_CRA.MELD</vt:lpstr>
      <vt:lpstr>(P_CRSABIS_CRA.MELD)</vt:lpstr>
      <vt:lpstr>P_CASABISIRB.MELD</vt:lpstr>
      <vt:lpstr>P_CASABISIRB_CAP.MELD</vt:lpstr>
      <vt:lpstr>P_CASABISIRB_RWALRD.MELD</vt:lpstr>
      <vt:lpstr>P_CASABISIRB_REQ.MELD</vt:lpstr>
      <vt:lpstr>P_CASABISIRB_RAT.MELD</vt:lpstr>
      <vt:lpstr>P_CRSABIS_(01-09).MELD</vt:lpstr>
      <vt:lpstr>P_CRSABIS_01.MELD</vt:lpstr>
      <vt:lpstr>P_CRSABIS_02.MELD</vt:lpstr>
      <vt:lpstr>P_CRSABIS_03.MELD</vt:lpstr>
      <vt:lpstr>P_CRSABIS_04.MELD</vt:lpstr>
      <vt:lpstr>P_CRSABIS_05.MELD</vt:lpstr>
      <vt:lpstr>P_CRSABIS_06.MELD</vt:lpstr>
      <vt:lpstr>P_CRSABIS_07.MELD</vt:lpstr>
      <vt:lpstr>P_CRSABIS_10.MELD</vt:lpstr>
      <vt:lpstr>P_CRSABIS_11.MELD</vt:lpstr>
      <vt:lpstr>P_CRSABIS_12.MELD</vt:lpstr>
      <vt:lpstr>P_CRSABIS_13.MELD</vt:lpstr>
      <vt:lpstr>P_CRFUNDS.MELD</vt:lpstr>
      <vt:lpstr>P_CRCCP.MELD</vt:lpstr>
      <vt:lpstr>P_CRSEC.MELD</vt:lpstr>
      <vt:lpstr>P_SETT.MELD</vt:lpstr>
      <vt:lpstr>P_CVA.MELD</vt:lpstr>
      <vt:lpstr>P_CVA.MELD (neu)</vt:lpstr>
      <vt:lpstr>P_MKR_BIS.MELD (bisher)</vt:lpstr>
      <vt:lpstr>P_MKR_BIS_SSA.MELD</vt:lpstr>
      <vt:lpstr>P_MKR_BIS_SA.MELD</vt:lpstr>
      <vt:lpstr>P_MKR_BIS_IMA.MELD</vt:lpstr>
      <vt:lpstr>P_OPR.MELD(bisher)</vt:lpstr>
      <vt:lpstr>P_OPR.MELD (new)</vt:lpstr>
      <vt:lpstr>P_LERA_BIS.MELD</vt:lpstr>
      <vt:lpstr>P_DISCLOSURE_KM1.MELD</vt:lpstr>
      <vt:lpstr>P_Subtitle</vt:lpstr>
      <vt:lpstr>P_Title</vt:lpstr>
      <vt:lpstr>'(P_CRSABIS_CRA.MELD)'!Print_Area</vt:lpstr>
      <vt:lpstr>'Delivery note'!Print_Area</vt:lpstr>
      <vt:lpstr>P_CASABISIRB.MELD!Print_Area</vt:lpstr>
      <vt:lpstr>P_CASABISIRB_CAP.MELD!Print_Area</vt:lpstr>
      <vt:lpstr>P_CASABISIRB_RAT.MELD!Print_Area</vt:lpstr>
      <vt:lpstr>P_CASABISIRB_REQ.MELD!Print_Area</vt:lpstr>
      <vt:lpstr>P_CASABISIRB_RWALRD.MELD!Print_Area</vt:lpstr>
      <vt:lpstr>P_CRCCP.MELD!Print_Area</vt:lpstr>
      <vt:lpstr>P_CRFUNDS.MELD!Print_Area</vt:lpstr>
      <vt:lpstr>'P_CRSABIS_(01-09).MELD'!Print_Area</vt:lpstr>
      <vt:lpstr>P_CRSABIS_01.MELD!Print_Area</vt:lpstr>
      <vt:lpstr>P_CRSABIS_02.MELD!Print_Area</vt:lpstr>
      <vt:lpstr>P_CRSABIS_03.MELD!Print_Area</vt:lpstr>
      <vt:lpstr>P_CRSABIS_04.MELD!Print_Area</vt:lpstr>
      <vt:lpstr>P_CRSABIS_05.MELD!Print_Area</vt:lpstr>
      <vt:lpstr>P_CRSABIS_06.MELD!Print_Area</vt:lpstr>
      <vt:lpstr>P_CRSABIS_07.MELD!Print_Area</vt:lpstr>
      <vt:lpstr>P_CRSABIS_10.MELD!Print_Area</vt:lpstr>
      <vt:lpstr>P_CRSABIS_11.MELD!Print_Area</vt:lpstr>
      <vt:lpstr>P_CRSABIS_12.MELD!Print_Area</vt:lpstr>
      <vt:lpstr>P_CRSABIS_13.MELD!Print_Area</vt:lpstr>
      <vt:lpstr>P_CRSABIS_CRA.MELD!Print_Area</vt:lpstr>
      <vt:lpstr>P_CRSABIS_OPT.MELD!Print_Area</vt:lpstr>
      <vt:lpstr>P_CRSEC.MELD!Print_Area</vt:lpstr>
      <vt:lpstr>P_CVA.MELD!Print_Area</vt:lpstr>
      <vt:lpstr>P_DISCLOSURE_KM1.MELD!Print_Area</vt:lpstr>
      <vt:lpstr>P_LERA_BIS.MELD!Print_Area</vt:lpstr>
      <vt:lpstr>'P_MKR_BIS.MELD (bisher)'!Print_Area</vt:lpstr>
      <vt:lpstr>P_MKR_BIS_SSA.MELD!Print_Area</vt:lpstr>
      <vt:lpstr>'P_OPR.MELD (new)'!Print_Area</vt:lpstr>
      <vt:lpstr>'P_OPR.MELD(bisher)'!Print_Area</vt:lpstr>
      <vt:lpstr>P_SETT.MELD!Print_Area</vt:lpstr>
      <vt:lpstr>'(P_CRSABIS_CRA.MELD)'!Print_Titles</vt:lpstr>
      <vt:lpstr>P_CASABISIRB.MELD!Print_Titles</vt:lpstr>
      <vt:lpstr>P_CASABISIRB_CAP.MELD!Print_Titles</vt:lpstr>
      <vt:lpstr>P_CASABISIRB_RAT.MELD!Print_Titles</vt:lpstr>
      <vt:lpstr>P_CASABISIRB_REQ.MELD!Print_Titles</vt:lpstr>
      <vt:lpstr>P_CASABISIRB_RWALRD.MELD!Print_Titles</vt:lpstr>
      <vt:lpstr>P_CRCCP.MELD!Print_Titles</vt:lpstr>
      <vt:lpstr>P_CRFUNDS.MELD!Print_Titles</vt:lpstr>
      <vt:lpstr>'P_CRSABIS_(01-09).MELD'!Print_Titles</vt:lpstr>
      <vt:lpstr>P_CRSABIS_01.MELD!Print_Titles</vt:lpstr>
      <vt:lpstr>P_CRSABIS_02.MELD!Print_Titles</vt:lpstr>
      <vt:lpstr>P_CRSABIS_03.MELD!Print_Titles</vt:lpstr>
      <vt:lpstr>P_CRSABIS_04.MELD!Print_Titles</vt:lpstr>
      <vt:lpstr>P_CRSABIS_05.MELD!Print_Titles</vt:lpstr>
      <vt:lpstr>P_CRSABIS_06.MELD!Print_Titles</vt:lpstr>
      <vt:lpstr>P_CRSABIS_07.MELD!Print_Titles</vt:lpstr>
      <vt:lpstr>P_CRSABIS_10.MELD!Print_Titles</vt:lpstr>
      <vt:lpstr>P_CRSABIS_11.MELD!Print_Titles</vt:lpstr>
      <vt:lpstr>P_CRSABIS_12.MELD!Print_Titles</vt:lpstr>
      <vt:lpstr>P_CRSABIS_13.MELD!Print_Titles</vt:lpstr>
      <vt:lpstr>P_CRSABIS_CRA.MELD!Print_Titles</vt:lpstr>
      <vt:lpstr>P_CRSABIS_OPT.MELD!Print_Titles</vt:lpstr>
      <vt:lpstr>P_DISCLOSURE_KM1.MELD!Print_Titles</vt:lpstr>
      <vt:lpstr>P_LERA_BIS.MELD!Print_Titles</vt:lpstr>
      <vt:lpstr>'P_MKR_BIS.MELD (bisher)'!Print_Titles</vt:lpstr>
      <vt:lpstr>P_MKR_BIS_IMA.MELD!Print_Titles</vt:lpstr>
      <vt:lpstr>P_MKR_BIS_SA.MELD!Print_Titles</vt:lpstr>
      <vt:lpstr>P_MKR_BIS_SSA.MELD!Print_Titles</vt:lpstr>
    </vt:vector>
  </TitlesOfParts>
  <Company>FINMA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Wunderli Dan</dc:creator>
  <cp:lastModifiedBy>Wunderli Dan</cp:lastModifiedBy>
  <dcterms:created xsi:type="dcterms:W3CDTF">2021-02-04T08:51:47Z</dcterms:created>
  <dcterms:modified xsi:type="dcterms:W3CDTF">2022-06-30T13:43:40Z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0x0101003951D1F36BC944E987AD610ADE6A10C300BBE8F1D1C94D7247BD598B15EBF6B490</vt:lpwstr>
  </property>
  <property fmtid="{D5CDD505-2E9C-101B-9397-08002B2CF9AE}" pid="3" name="FinmaCrmEntityIDs">
    <vt:lpwstr/>
  </property>
  <property fmtid="{D5CDD505-2E9C-101B-9397-08002B2CF9AE}" pid="4" name="FinmaCategory">
    <vt:lpwstr/>
  </property>
  <property fmtid="{D5CDD505-2E9C-101B-9397-08002B2CF9AE}" pid="5" name="FinmaCatchphrases">
    <vt:lpwstr/>
  </property>
  <property fmtid="{D5CDD505-2E9C-101B-9397-08002B2CF9AE}" pid="6" name="FinmaCaseStatus">
    <vt:lpwstr>1;#Aktiv|7439e81f-a110-4e88-a7af-acf8d4806223</vt:lpwstr>
  </property>
  <property fmtid="{D5CDD505-2E9C-101B-9397-08002B2CF9AE}" pid="7" name="_dlc_DocIdItemGuid">
    <vt:lpwstr>b4e8e1dd-fce8-44b4-981c-6fbd5f7545c4</vt:lpwstr>
  </property>
  <property fmtid="{D5CDD505-2E9C-101B-9397-08002B2CF9AE}" pid="8" name="OSP">
    <vt:lpwstr>18;#221.1 Verordnungen|9ccfc3c1-5885-4211-a0e7-6ae7b62a06d9</vt:lpwstr>
  </property>
  <property fmtid="{D5CDD505-2E9C-101B-9397-08002B2CF9AE}" pid="9" name="Topic">
    <vt:lpwstr/>
  </property>
  <property fmtid="{D5CDD505-2E9C-101B-9397-08002B2CF9AE}" pid="10" name="OU">
    <vt:lpwstr>2;#S-REG|8878274e-4d99-423b-811c-57bec7559333</vt:lpwstr>
  </property>
</Properties>
</file>